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gobejishvili\Desktop\ქრონიკული დაავადებების პროგრამა\რეპორტი\"/>
    </mc:Choice>
  </mc:AlternateContent>
  <bookViews>
    <workbookView xWindow="0" yWindow="0" windowWidth="20490" windowHeight="7155" activeTab="4"/>
  </bookViews>
  <sheets>
    <sheet name="ივლისი 2017" sheetId="1" r:id="rId1"/>
    <sheet name="აგვისტო 2017" sheetId="2" r:id="rId2"/>
    <sheet name=" სექტემბერი 2017" sheetId="5" r:id="rId3"/>
    <sheet name="ოქტომებრი 24.10.17" sheetId="6" r:id="rId4"/>
    <sheet name="სულ" sheetId="8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1" i="6" l="1"/>
  <c r="S51" i="6"/>
  <c r="R50" i="5"/>
  <c r="S50" i="5"/>
  <c r="F12" i="8" l="1"/>
  <c r="F11" i="8"/>
  <c r="F10" i="8"/>
  <c r="F9" i="8"/>
  <c r="F24" i="8"/>
  <c r="F23" i="8"/>
  <c r="F22" i="8"/>
  <c r="F21" i="8"/>
  <c r="F28" i="8"/>
  <c r="F27" i="8"/>
  <c r="F26" i="8"/>
  <c r="F25" i="8"/>
  <c r="F40" i="8"/>
  <c r="F39" i="8"/>
  <c r="F38" i="8"/>
  <c r="F37" i="8"/>
  <c r="F48" i="8"/>
  <c r="F47" i="8"/>
  <c r="F46" i="8"/>
  <c r="F45" i="8"/>
  <c r="F44" i="8"/>
  <c r="F43" i="8"/>
  <c r="F42" i="8"/>
  <c r="F41" i="8"/>
  <c r="F36" i="8"/>
  <c r="F35" i="8"/>
  <c r="F34" i="8"/>
  <c r="F33" i="8"/>
  <c r="F32" i="8"/>
  <c r="F31" i="8"/>
  <c r="F30" i="8"/>
  <c r="F29" i="8"/>
  <c r="F20" i="8"/>
  <c r="F19" i="8"/>
  <c r="F18" i="8"/>
  <c r="F17" i="8"/>
  <c r="F16" i="8"/>
  <c r="F15" i="8"/>
  <c r="F14" i="8"/>
  <c r="F13" i="8"/>
  <c r="F8" i="8"/>
  <c r="F7" i="8"/>
  <c r="F6" i="8"/>
  <c r="F5" i="8"/>
  <c r="AE49" i="8" l="1"/>
  <c r="AE51" i="8" s="1"/>
  <c r="AD49" i="8"/>
  <c r="AD51" i="8" s="1"/>
  <c r="AC49" i="8"/>
  <c r="AC51" i="8" s="1"/>
  <c r="AB49" i="8"/>
  <c r="AB51" i="8" s="1"/>
  <c r="AA49" i="8"/>
  <c r="AA51" i="8" s="1"/>
  <c r="Z49" i="8"/>
  <c r="Z51" i="8" s="1"/>
  <c r="Y49" i="8"/>
  <c r="Y51" i="8" s="1"/>
  <c r="X49" i="8"/>
  <c r="X51" i="8" s="1"/>
  <c r="W49" i="8"/>
  <c r="W51" i="8" s="1"/>
  <c r="V49" i="8"/>
  <c r="V51" i="8" s="1"/>
  <c r="U49" i="8"/>
  <c r="U51" i="8" s="1"/>
  <c r="T49" i="8"/>
  <c r="T51" i="8" s="1"/>
  <c r="S49" i="8"/>
  <c r="S51" i="8" s="1"/>
  <c r="R49" i="8"/>
  <c r="R51" i="8" s="1"/>
  <c r="Q49" i="8"/>
  <c r="Q51" i="8" s="1"/>
  <c r="P49" i="8"/>
  <c r="P51" i="8" s="1"/>
  <c r="O49" i="8"/>
  <c r="O51" i="8" s="1"/>
  <c r="N49" i="8"/>
  <c r="N51" i="8" s="1"/>
  <c r="M49" i="8"/>
  <c r="M51" i="8" s="1"/>
  <c r="L49" i="8"/>
  <c r="L51" i="8" s="1"/>
  <c r="K49" i="8"/>
  <c r="K51" i="8" s="1"/>
  <c r="J49" i="8"/>
  <c r="J51" i="8" s="1"/>
  <c r="I49" i="8"/>
  <c r="I51" i="8" s="1"/>
  <c r="H49" i="8"/>
  <c r="H51" i="8" s="1"/>
  <c r="F48" i="6"/>
  <c r="F47" i="6"/>
  <c r="F46" i="6"/>
  <c r="F45" i="6"/>
  <c r="F44" i="6"/>
  <c r="F43" i="6"/>
  <c r="F42" i="6"/>
  <c r="F41" i="6"/>
  <c r="F40" i="6"/>
  <c r="F39" i="6"/>
  <c r="F38" i="6"/>
  <c r="F37" i="6"/>
  <c r="F36" i="6"/>
  <c r="F35" i="6"/>
  <c r="F34" i="6"/>
  <c r="F33" i="6"/>
  <c r="F32" i="6"/>
  <c r="F31" i="6"/>
  <c r="F30" i="6"/>
  <c r="F29" i="6"/>
  <c r="F28" i="6"/>
  <c r="F27" i="6"/>
  <c r="F26" i="6"/>
  <c r="F25" i="6"/>
  <c r="F24" i="6"/>
  <c r="F23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AE49" i="6"/>
  <c r="AE51" i="6" s="1"/>
  <c r="AD49" i="6"/>
  <c r="AD51" i="6" s="1"/>
  <c r="AC49" i="6"/>
  <c r="AC51" i="6" s="1"/>
  <c r="AB49" i="6"/>
  <c r="AB51" i="6" s="1"/>
  <c r="Z49" i="6"/>
  <c r="Z51" i="6" s="1"/>
  <c r="Y49" i="6"/>
  <c r="Y51" i="6" s="1"/>
  <c r="X49" i="6"/>
  <c r="X51" i="6" s="1"/>
  <c r="W49" i="6"/>
  <c r="W51" i="6" s="1"/>
  <c r="V49" i="6"/>
  <c r="V51" i="6" s="1"/>
  <c r="U49" i="6"/>
  <c r="U51" i="6" s="1"/>
  <c r="T49" i="6"/>
  <c r="T51" i="6" s="1"/>
  <c r="S49" i="6"/>
  <c r="R49" i="6"/>
  <c r="Q49" i="6"/>
  <c r="Q51" i="6" s="1"/>
  <c r="P49" i="6"/>
  <c r="P51" i="6" s="1"/>
  <c r="O49" i="6"/>
  <c r="O51" i="6" s="1"/>
  <c r="N49" i="6"/>
  <c r="N51" i="6" s="1"/>
  <c r="M49" i="6"/>
  <c r="M51" i="6" s="1"/>
  <c r="L49" i="6"/>
  <c r="L51" i="6" s="1"/>
  <c r="K49" i="6"/>
  <c r="K51" i="6" s="1"/>
  <c r="J49" i="6"/>
  <c r="J51" i="6" s="1"/>
  <c r="I49" i="6"/>
  <c r="I51" i="6" s="1"/>
  <c r="H49" i="6"/>
  <c r="H51" i="6" s="1"/>
  <c r="AA49" i="6"/>
  <c r="AA51" i="6" s="1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43" i="5"/>
  <c r="F42" i="5"/>
  <c r="F41" i="5"/>
  <c r="F40" i="5"/>
  <c r="F47" i="5"/>
  <c r="F46" i="5"/>
  <c r="F45" i="5"/>
  <c r="F44" i="5"/>
  <c r="F39" i="5"/>
  <c r="F38" i="5"/>
  <c r="F37" i="5"/>
  <c r="F36" i="5"/>
  <c r="F19" i="5"/>
  <c r="F18" i="5"/>
  <c r="F17" i="5"/>
  <c r="F16" i="5"/>
  <c r="F27" i="5"/>
  <c r="F26" i="5"/>
  <c r="F25" i="5"/>
  <c r="F24" i="5"/>
  <c r="F35" i="5"/>
  <c r="F34" i="5"/>
  <c r="F33" i="5"/>
  <c r="F32" i="5"/>
  <c r="F31" i="5"/>
  <c r="F30" i="5"/>
  <c r="F29" i="5"/>
  <c r="F28" i="5"/>
  <c r="F11" i="5"/>
  <c r="F10" i="5"/>
  <c r="F9" i="5"/>
  <c r="F8" i="5"/>
  <c r="F15" i="5"/>
  <c r="F14" i="5"/>
  <c r="F13" i="5"/>
  <c r="F12" i="5"/>
  <c r="F23" i="5"/>
  <c r="F22" i="5"/>
  <c r="F21" i="5"/>
  <c r="F20" i="5"/>
  <c r="F7" i="5"/>
  <c r="F6" i="5"/>
  <c r="F5" i="5"/>
  <c r="F4" i="5"/>
  <c r="X54" i="8" l="1"/>
  <c r="Z54" i="8"/>
  <c r="H52" i="8"/>
  <c r="H54" i="8"/>
  <c r="U54" i="8"/>
  <c r="X54" i="6"/>
  <c r="Z54" i="6"/>
  <c r="U54" i="6"/>
  <c r="H52" i="6"/>
  <c r="H54" i="6"/>
  <c r="R48" i="5"/>
  <c r="S48" i="5"/>
  <c r="T48" i="5"/>
  <c r="AA16" i="5"/>
  <c r="AA12" i="5"/>
  <c r="AE48" i="5" l="1"/>
  <c r="AE50" i="5" s="1"/>
  <c r="AD48" i="5"/>
  <c r="AD50" i="5" s="1"/>
  <c r="AC48" i="5"/>
  <c r="AC50" i="5" s="1"/>
  <c r="AB48" i="5"/>
  <c r="AB50" i="5" s="1"/>
  <c r="AA48" i="5"/>
  <c r="AA50" i="5" s="1"/>
  <c r="Z48" i="5"/>
  <c r="Z50" i="5" s="1"/>
  <c r="Y48" i="5"/>
  <c r="Y50" i="5" s="1"/>
  <c r="X48" i="5"/>
  <c r="X50" i="5" s="1"/>
  <c r="W48" i="5"/>
  <c r="W50" i="5" s="1"/>
  <c r="V48" i="5"/>
  <c r="V50" i="5" s="1"/>
  <c r="U48" i="5"/>
  <c r="U50" i="5" s="1"/>
  <c r="T50" i="5"/>
  <c r="Q48" i="5"/>
  <c r="Q50" i="5" s="1"/>
  <c r="P48" i="5"/>
  <c r="P50" i="5" s="1"/>
  <c r="O48" i="5"/>
  <c r="O50" i="5" s="1"/>
  <c r="N48" i="5"/>
  <c r="N50" i="5" s="1"/>
  <c r="M48" i="5"/>
  <c r="M50" i="5" s="1"/>
  <c r="L48" i="5"/>
  <c r="L50" i="5" s="1"/>
  <c r="K48" i="5"/>
  <c r="K50" i="5" s="1"/>
  <c r="J48" i="5"/>
  <c r="J50" i="5" s="1"/>
  <c r="I48" i="5"/>
  <c r="I50" i="5" s="1"/>
  <c r="H48" i="5"/>
  <c r="H50" i="5" s="1"/>
  <c r="X53" i="5" l="1"/>
  <c r="Z53" i="5"/>
  <c r="H53" i="5"/>
  <c r="H51" i="5"/>
  <c r="U53" i="5"/>
  <c r="V50" i="1"/>
  <c r="AB48" i="2" l="1"/>
  <c r="AB50" i="2" s="1"/>
  <c r="R48" i="2"/>
  <c r="R50" i="2" s="1"/>
  <c r="AC48" i="2" l="1"/>
  <c r="AC50" i="2" s="1"/>
  <c r="AA48" i="2"/>
  <c r="AA50" i="2" s="1"/>
  <c r="Z48" i="2"/>
  <c r="Z50" i="2" s="1"/>
  <c r="Y48" i="2"/>
  <c r="Y50" i="2" s="1"/>
  <c r="X48" i="2"/>
  <c r="X50" i="2" s="1"/>
  <c r="W48" i="2"/>
  <c r="W50" i="2" s="1"/>
  <c r="V48" i="2"/>
  <c r="V50" i="2" s="1"/>
  <c r="U48" i="2"/>
  <c r="U50" i="2" s="1"/>
  <c r="T48" i="2"/>
  <c r="T50" i="2" s="1"/>
  <c r="S48" i="2"/>
  <c r="S50" i="2" s="1"/>
  <c r="Q48" i="2"/>
  <c r="Q50" i="2" s="1"/>
  <c r="P48" i="2"/>
  <c r="P50" i="2" s="1"/>
  <c r="O48" i="2"/>
  <c r="O50" i="2" s="1"/>
  <c r="N48" i="2"/>
  <c r="N50" i="2" s="1"/>
  <c r="M48" i="2"/>
  <c r="M50" i="2" s="1"/>
  <c r="L48" i="2"/>
  <c r="L50" i="2" s="1"/>
  <c r="K48" i="2"/>
  <c r="K50" i="2" s="1"/>
  <c r="J48" i="2"/>
  <c r="J50" i="2" s="1"/>
  <c r="I48" i="2"/>
  <c r="I50" i="2" s="1"/>
  <c r="H48" i="2"/>
  <c r="H50" i="2" s="1"/>
  <c r="V53" i="2" l="1"/>
  <c r="H53" i="2"/>
  <c r="H51" i="2"/>
  <c r="S53" i="2"/>
  <c r="X53" i="2"/>
  <c r="AA48" i="1"/>
  <c r="AA50" i="1" s="1"/>
  <c r="Z48" i="1"/>
  <c r="Z50" i="1" s="1"/>
  <c r="Y48" i="1"/>
  <c r="Y50" i="1" s="1"/>
  <c r="X48" i="1"/>
  <c r="X50" i="1" s="1"/>
  <c r="W48" i="1"/>
  <c r="W50" i="1" s="1"/>
  <c r="V48" i="1"/>
  <c r="U48" i="1"/>
  <c r="U50" i="1" s="1"/>
  <c r="T48" i="1"/>
  <c r="T50" i="1" s="1"/>
  <c r="S48" i="1"/>
  <c r="S50" i="1" s="1"/>
  <c r="R48" i="1"/>
  <c r="R50" i="1" s="1"/>
  <c r="Q48" i="1"/>
  <c r="Q50" i="1" s="1"/>
  <c r="P48" i="1"/>
  <c r="P50" i="1" s="1"/>
  <c r="O48" i="1"/>
  <c r="O50" i="1" s="1"/>
  <c r="N48" i="1"/>
  <c r="N50" i="1" s="1"/>
  <c r="M48" i="1"/>
  <c r="M50" i="1" s="1"/>
  <c r="L48" i="1"/>
  <c r="L50" i="1" s="1"/>
  <c r="K48" i="1"/>
  <c r="K50" i="1" s="1"/>
  <c r="J48" i="1"/>
  <c r="J50" i="1" s="1"/>
  <c r="I48" i="1"/>
  <c r="I50" i="1" s="1"/>
  <c r="H48" i="1"/>
  <c r="H50" i="1" s="1"/>
  <c r="W53" i="1" l="1"/>
  <c r="H51" i="1"/>
  <c r="S59" i="1" s="1"/>
  <c r="R53" i="1"/>
  <c r="H53" i="1"/>
  <c r="U53" i="1"/>
</calcChain>
</file>

<file path=xl/sharedStrings.xml><?xml version="1.0" encoding="utf-8"?>
<sst xmlns="http://schemas.openxmlformats.org/spreadsheetml/2006/main" count="534" uniqueCount="65">
  <si>
    <t>რეგისტრირებული ბენეფიციარი სულ</t>
  </si>
  <si>
    <t>რეგისტრირებული ბენეფიციარი რეგიონების მიხედვით სულ</t>
  </si>
  <si>
    <t>ბენეფიციარი (აფთიაქში მიმართვიანობის მიხედვით</t>
  </si>
  <si>
    <t>გული</t>
  </si>
  <si>
    <t>დიაბეტი</t>
  </si>
  <si>
    <t>ფარისებრი</t>
  </si>
  <si>
    <t>ფილტვი</t>
  </si>
  <si>
    <t>რეგიონი</t>
  </si>
  <si>
    <t>სულ(ბენეფიციარი)</t>
  </si>
  <si>
    <t>ენაპი 20 მგ (ტაბლეტი)</t>
  </si>
  <si>
    <t>ენალაპრილი 10 მგ (ტაბლეტი)</t>
  </si>
  <si>
    <t>ლოზაპი 100 მგ (ტაბლეტი)</t>
  </si>
  <si>
    <t>ვარფარინ-ნიკომედი 2.5მგ (ტაბლეტი)</t>
  </si>
  <si>
    <t>ეგილოკი 100მგ (ტაბლეტი)</t>
  </si>
  <si>
    <t>დიგოქსინი გრინდექსი 0.25 მგ (ტაბლეტი)</t>
  </si>
  <si>
    <t>ატორისი 20მგ (ტაბლეტი)</t>
  </si>
  <si>
    <t>ზილტი 75მგ</t>
  </si>
  <si>
    <t>კორდარონი 200 მგ (ტაბლეტი)</t>
  </si>
  <si>
    <t>ვეროშპირონი 25 მგ (ტაბლეტი)</t>
  </si>
  <si>
    <t>სიოფორი 1000 მგ (ტაბლეტი)</t>
  </si>
  <si>
    <t>ამარილი 2 მგ (ტაბლეტი)</t>
  </si>
  <si>
    <t>დიაბეტონი MR 60მგ</t>
  </si>
  <si>
    <t>თიროზოლი 5მგ</t>
  </si>
  <si>
    <t>ლევოთიროქსინი</t>
  </si>
  <si>
    <t>პულმიკორტი 0.5 მგ 2 მლ (ფლაკონი)</t>
  </si>
  <si>
    <t>სალბუტამოლ ინტელი 200 შესხურება(1/200 ფლ.) (ფლაკონი)</t>
  </si>
  <si>
    <t>სერეტიდი 60 შესხურება(1/60 ფლ.) (ფლაკონი)</t>
  </si>
  <si>
    <t>ალბუტეროლის სულფატი 0.5 მლ 2.5 მგ (ფლაკონი)</t>
  </si>
  <si>
    <t>მედროლი 16 მგ (ტაბლეტი)</t>
  </si>
  <si>
    <t>თბილისი</t>
  </si>
  <si>
    <t>ტენდერი</t>
  </si>
  <si>
    <t>იმერეთის მხარე</t>
  </si>
  <si>
    <t>გურია</t>
  </si>
  <si>
    <t>სამეგრელო ზემო სვანეთი</t>
  </si>
  <si>
    <t>აჭარა</t>
  </si>
  <si>
    <t>რაჭა–ლეჩხუმი და ქვემო სვანეთი</t>
  </si>
  <si>
    <t>კახეთი</t>
  </si>
  <si>
    <t>მცხეთა–მთიანეთი</t>
  </si>
  <si>
    <t>სამცხე ჯავახეთი</t>
  </si>
  <si>
    <t>შიდა ქართლი</t>
  </si>
  <si>
    <t>ქვემო ქართლი</t>
  </si>
  <si>
    <t>გახარჯული მედიკამენტის რაოდენობა სულ</t>
  </si>
  <si>
    <t>ერთეულის ღირებულბა</t>
  </si>
  <si>
    <t>ჯამი მედიაკმენტების მიხედვით</t>
  </si>
  <si>
    <t>სულ (ლარი)</t>
  </si>
  <si>
    <t>კომპონენტის მიხედვით</t>
  </si>
  <si>
    <t>დადგენილებით განსაზღვრული ბიუჯეტი</t>
  </si>
  <si>
    <t>შენიშვნა:</t>
  </si>
  <si>
    <t>პულმიკორტის და  ალბუტეროლის ხარჯვა /რეგისტრაცია დაბალია (სავარაუდოდ ამ კონტიგენტს არ აქვს ნებულაიზერი)</t>
  </si>
  <si>
    <t>დიაბეტი დეფიციტურია –ხარჯვა იქნებოდა უფრო მაღალი რომ შეგვეძლოს უზრუნველყოფა (ამარილი,დიაბეტონი ამოიწურა. დარჩენილია ერთეულ რაიონებში)</t>
  </si>
  <si>
    <t>გულის კომპონენტს აკლია 3 მედიკამენტი, შესაბამისად ხარჯვა არასრულყოფილია</t>
  </si>
  <si>
    <t>მედიკამენტი (ხარჯვა აფთიაქიდან აბი/ფლ)</t>
  </si>
  <si>
    <t>ბრეტარისი ჯენუეირი  322მკგ/დოზა</t>
  </si>
  <si>
    <t>მონოსანი 40მგ</t>
  </si>
  <si>
    <t>სამეგრელო–ზემო სვანეთი</t>
  </si>
  <si>
    <t>ფუროსემიდი 40მგ</t>
  </si>
  <si>
    <t>ამლოდიპინი 5მგ</t>
  </si>
  <si>
    <t>დიაგნოზების პროცენტული (%) გადანაწილება</t>
  </si>
  <si>
    <t>დიაგნოზი</t>
  </si>
  <si>
    <t>ბენეფიციარის რაოდენობა რეგისტრირებული მედიკამენტისმიხედვით</t>
  </si>
  <si>
    <t>გულ–სისხლძარღვთა</t>
  </si>
  <si>
    <t>გურიის მხარე</t>
  </si>
  <si>
    <t>თბილსიი</t>
  </si>
  <si>
    <t>1-24 ოქტომბერი</t>
  </si>
  <si>
    <t>გულის კომპონენტს აკლია2 მედიკამენტი, შესაბამისად ხარჯვა არასრულყოფილია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</si>
</sst>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.0000_);_(* \(#,##0.0000\);_(* &quot;-&quot;??_);_(@_)"/>
    <numFmt numFmtId="165" formatCode="_(* #,##0.00000000_);_(* \(#,##0.00000000\);_(* &quot;-&quot;??_);_(@_)"/>
    <numFmt numFmtId="166" formatCode="_(* #,##0.000_);_(* \(#,##0.000\);_(* &quot;-&quot;??_);_(@_)"/>
    <numFmt numFmtId="167" formatCode="_(* #,##0.0000000_);_(* \(#,##0.0000000\);_(* &quot;-&quot;??_);_(@_)"/>
    <numFmt numFmtId="168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Sylfaen"/>
      <family val="1"/>
    </font>
    <font>
      <sz val="7"/>
      <name val="Calibri"/>
      <family val="2"/>
      <scheme val="minor"/>
    </font>
    <font>
      <sz val="7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</font>
    <font>
      <sz val="8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43" fontId="2" fillId="8" borderId="1" xfId="1" applyFont="1" applyFill="1" applyBorder="1" applyAlignment="1">
      <alignment horizontal="center" vertical="center" wrapText="1"/>
    </xf>
    <xf numFmtId="164" fontId="2" fillId="0" borderId="1" xfId="1" applyNumberFormat="1" applyFont="1" applyBorder="1"/>
    <xf numFmtId="165" fontId="2" fillId="0" borderId="1" xfId="1" applyNumberFormat="1" applyFont="1" applyBorder="1"/>
    <xf numFmtId="166" fontId="2" fillId="0" borderId="1" xfId="1" applyNumberFormat="1" applyFont="1" applyBorder="1"/>
    <xf numFmtId="43" fontId="2" fillId="0" borderId="1" xfId="1" applyFont="1" applyBorder="1" applyAlignment="1">
      <alignment horizontal="center"/>
    </xf>
    <xf numFmtId="43" fontId="2" fillId="0" borderId="1" xfId="1" applyFont="1" applyBorder="1"/>
    <xf numFmtId="167" fontId="2" fillId="0" borderId="1" xfId="1" applyNumberFormat="1" applyFont="1" applyBorder="1"/>
    <xf numFmtId="168" fontId="2" fillId="0" borderId="1" xfId="1" applyNumberFormat="1" applyFont="1" applyBorder="1"/>
    <xf numFmtId="0" fontId="2" fillId="0" borderId="1" xfId="0" applyFont="1" applyBorder="1" applyAlignment="1">
      <alignment horizontal="center" vertical="center" wrapText="1"/>
    </xf>
    <xf numFmtId="43" fontId="2" fillId="0" borderId="1" xfId="0" applyNumberFormat="1" applyFont="1" applyBorder="1" applyAlignment="1">
      <alignment horizontal="center" vertical="center" wrapText="1"/>
    </xf>
    <xf numFmtId="0" fontId="2" fillId="7" borderId="0" xfId="0" applyFont="1" applyFill="1" applyAlignment="1">
      <alignment horizontal="center" vertical="center" wrapText="1"/>
    </xf>
    <xf numFmtId="164" fontId="5" fillId="0" borderId="1" xfId="1" applyNumberFormat="1" applyFont="1" applyBorder="1"/>
    <xf numFmtId="165" fontId="5" fillId="0" borderId="1" xfId="1" applyNumberFormat="1" applyFont="1" applyBorder="1"/>
    <xf numFmtId="166" fontId="5" fillId="0" borderId="1" xfId="1" applyNumberFormat="1" applyFont="1" applyBorder="1"/>
    <xf numFmtId="43" fontId="5" fillId="0" borderId="1" xfId="1" applyFont="1" applyBorder="1" applyAlignment="1">
      <alignment horizontal="center"/>
    </xf>
    <xf numFmtId="43" fontId="5" fillId="0" borderId="1" xfId="1" applyFont="1" applyBorder="1"/>
    <xf numFmtId="167" fontId="5" fillId="0" borderId="1" xfId="1" applyNumberFormat="1" applyFont="1" applyBorder="1"/>
    <xf numFmtId="168" fontId="5" fillId="0" borderId="1" xfId="1" applyNumberFormat="1" applyFont="1" applyBorder="1"/>
    <xf numFmtId="0" fontId="2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center" wrapText="1"/>
    </xf>
    <xf numFmtId="39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9" borderId="0" xfId="0" applyFont="1" applyFill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vertical="center" textRotation="90" wrapText="1"/>
    </xf>
    <xf numFmtId="0" fontId="3" fillId="7" borderId="7" xfId="0" applyFont="1" applyFill="1" applyBorder="1" applyAlignment="1">
      <alignment vertical="center" textRotation="90" wrapText="1"/>
    </xf>
    <xf numFmtId="0" fontId="3" fillId="7" borderId="11" xfId="0" applyFont="1" applyFill="1" applyBorder="1" applyAlignment="1">
      <alignment vertical="center" textRotation="90" wrapText="1"/>
    </xf>
    <xf numFmtId="0" fontId="6" fillId="0" borderId="1" xfId="0" applyFont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9" fontId="6" fillId="7" borderId="1" xfId="2" applyFont="1" applyFill="1" applyBorder="1" applyAlignment="1">
      <alignment horizontal="center" vertical="center" wrapText="1"/>
    </xf>
    <xf numFmtId="9" fontId="6" fillId="0" borderId="1" xfId="2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/>
    </xf>
    <xf numFmtId="0" fontId="7" fillId="7" borderId="1" xfId="0" applyNumberFormat="1" applyFont="1" applyFill="1" applyBorder="1" applyAlignment="1">
      <alignment horizontal="center" vertical="center"/>
    </xf>
    <xf numFmtId="164" fontId="6" fillId="0" borderId="1" xfId="1" applyNumberFormat="1" applyFont="1" applyBorder="1"/>
    <xf numFmtId="166" fontId="6" fillId="0" borderId="1" xfId="1" applyNumberFormat="1" applyFont="1" applyBorder="1"/>
    <xf numFmtId="164" fontId="8" fillId="0" borderId="1" xfId="1" applyNumberFormat="1" applyFont="1" applyBorder="1"/>
    <xf numFmtId="166" fontId="8" fillId="0" borderId="1" xfId="1" applyNumberFormat="1" applyFont="1" applyBorder="1"/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9" fontId="2" fillId="2" borderId="4" xfId="2" applyFont="1" applyFill="1" applyBorder="1" applyAlignment="1">
      <alignment horizontal="center" vertical="center" wrapText="1"/>
    </xf>
    <xf numFmtId="9" fontId="2" fillId="2" borderId="7" xfId="2" applyFont="1" applyFill="1" applyBorder="1" applyAlignment="1">
      <alignment horizontal="center" vertical="center" wrapText="1"/>
    </xf>
    <xf numFmtId="9" fontId="2" fillId="2" borderId="11" xfId="2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 wrapText="1"/>
    </xf>
    <xf numFmtId="0" fontId="2" fillId="5" borderId="10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2" fillId="6" borderId="10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textRotation="90" wrapText="1"/>
    </xf>
    <xf numFmtId="0" fontId="3" fillId="7" borderId="7" xfId="0" applyFont="1" applyFill="1" applyBorder="1" applyAlignment="1">
      <alignment horizontal="center" vertical="center" textRotation="90" wrapText="1"/>
    </xf>
    <xf numFmtId="0" fontId="3" fillId="7" borderId="11" xfId="0" applyFont="1" applyFill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7" borderId="4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7" borderId="1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39" fontId="2" fillId="0" borderId="1" xfId="0" applyNumberFormat="1" applyFont="1" applyBorder="1" applyAlignment="1">
      <alignment horizontal="center" vertical="center" wrapText="1"/>
    </xf>
    <xf numFmtId="39" fontId="2" fillId="0" borderId="1" xfId="1" applyNumberFormat="1" applyFont="1" applyBorder="1" applyAlignment="1">
      <alignment horizontal="center" vertical="center" wrapText="1"/>
    </xf>
    <xf numFmtId="2" fontId="2" fillId="0" borderId="1" xfId="1" applyNumberFormat="1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top"/>
    </xf>
    <xf numFmtId="2" fontId="2" fillId="0" borderId="9" xfId="0" applyNumberFormat="1" applyFont="1" applyBorder="1" applyAlignment="1">
      <alignment horizontal="center" vertical="top"/>
    </xf>
    <xf numFmtId="2" fontId="2" fillId="0" borderId="10" xfId="0" applyNumberFormat="1" applyFont="1" applyBorder="1" applyAlignment="1">
      <alignment horizontal="center" vertical="top"/>
    </xf>
    <xf numFmtId="0" fontId="2" fillId="7" borderId="4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39" fontId="2" fillId="0" borderId="8" xfId="1" applyNumberFormat="1" applyFont="1" applyBorder="1" applyAlignment="1">
      <alignment horizontal="center" vertical="center" wrapText="1"/>
    </xf>
    <xf numFmtId="39" fontId="2" fillId="0" borderId="9" xfId="1" applyNumberFormat="1" applyFont="1" applyBorder="1" applyAlignment="1">
      <alignment horizontal="center" vertical="center" wrapText="1"/>
    </xf>
    <xf numFmtId="39" fontId="2" fillId="0" borderId="10" xfId="1" applyNumberFormat="1" applyFont="1" applyBorder="1" applyAlignment="1">
      <alignment horizontal="center" vertical="center" wrapText="1"/>
    </xf>
    <xf numFmtId="9" fontId="6" fillId="2" borderId="4" xfId="2" applyFont="1" applyFill="1" applyBorder="1" applyAlignment="1">
      <alignment horizontal="center" vertical="center" wrapText="1"/>
    </xf>
    <xf numFmtId="9" fontId="6" fillId="2" borderId="7" xfId="2" applyFont="1" applyFill="1" applyBorder="1" applyAlignment="1">
      <alignment horizontal="center" vertical="center" wrapText="1"/>
    </xf>
    <xf numFmtId="9" fontId="6" fillId="2" borderId="11" xfId="2" applyFont="1" applyFill="1" applyBorder="1" applyAlignment="1">
      <alignment horizontal="center" vertical="center" wrapText="1"/>
    </xf>
    <xf numFmtId="0" fontId="2" fillId="9" borderId="4" xfId="0" applyFont="1" applyFill="1" applyBorder="1" applyAlignment="1">
      <alignment horizontal="center" vertical="center" wrapText="1"/>
    </xf>
    <xf numFmtId="0" fontId="2" fillId="9" borderId="7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3" fontId="5" fillId="0" borderId="1" xfId="1" applyFont="1" applyFill="1" applyBorder="1"/>
    <xf numFmtId="43" fontId="2" fillId="0" borderId="1" xfId="0" applyNumberFormat="1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A62"/>
  <sheetViews>
    <sheetView workbookViewId="0">
      <selection activeCell="A62" sqref="A62:XFD62"/>
    </sheetView>
  </sheetViews>
  <sheetFormatPr defaultColWidth="16.28515625" defaultRowHeight="9" x14ac:dyDescent="0.25"/>
  <cols>
    <col min="1" max="1" width="7.28515625" style="1" customWidth="1"/>
    <col min="2" max="2" width="5.7109375" style="1" customWidth="1"/>
    <col min="3" max="3" width="6.5703125" style="1" customWidth="1"/>
    <col min="4" max="4" width="6.5703125" style="28" customWidth="1"/>
    <col min="5" max="5" width="9.28515625" style="28" customWidth="1"/>
    <col min="6" max="6" width="7.7109375" style="28" customWidth="1"/>
    <col min="7" max="7" width="8.140625" style="1" customWidth="1"/>
    <col min="8" max="8" width="7.85546875" style="1" customWidth="1"/>
    <col min="9" max="9" width="7.28515625" style="1" customWidth="1"/>
    <col min="10" max="10" width="9" style="1" customWidth="1"/>
    <col min="11" max="11" width="9.140625" style="1" customWidth="1"/>
    <col min="12" max="12" width="6.85546875" style="1" customWidth="1"/>
    <col min="13" max="13" width="7.140625" style="1" customWidth="1"/>
    <col min="14" max="14" width="6.85546875" style="1" customWidth="1"/>
    <col min="15" max="15" width="7.42578125" style="1" customWidth="1"/>
    <col min="16" max="16" width="7.85546875" style="1" customWidth="1"/>
    <col min="17" max="17" width="8.42578125" style="1" customWidth="1"/>
    <col min="18" max="18" width="8.28515625" style="1" customWidth="1"/>
    <col min="19" max="19" width="7" style="1" customWidth="1"/>
    <col min="20" max="20" width="7.140625" style="1" customWidth="1"/>
    <col min="21" max="21" width="7.5703125" style="1" customWidth="1"/>
    <col min="22" max="23" width="5.28515625" style="1" customWidth="1"/>
    <col min="24" max="24" width="6.28515625" style="1" customWidth="1"/>
    <col min="25" max="25" width="8.28515625" style="1" customWidth="1"/>
    <col min="26" max="26" width="5.85546875" style="1" customWidth="1"/>
    <col min="27" max="27" width="6.42578125" style="1" customWidth="1"/>
    <col min="28" max="16384" width="16.28515625" style="1"/>
  </cols>
  <sheetData>
    <row r="1" spans="1:27" ht="45.75" customHeight="1" x14ac:dyDescent="0.25">
      <c r="A1" s="52" t="s">
        <v>0</v>
      </c>
      <c r="B1" s="84" t="s">
        <v>1</v>
      </c>
      <c r="C1" s="85"/>
      <c r="D1" s="86"/>
      <c r="E1" s="81" t="s">
        <v>58</v>
      </c>
      <c r="F1" s="53" t="s">
        <v>57</v>
      </c>
      <c r="G1" s="53" t="s">
        <v>2</v>
      </c>
      <c r="H1" s="56" t="s">
        <v>51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</row>
    <row r="2" spans="1:27" ht="45.75" customHeight="1" x14ac:dyDescent="0.25">
      <c r="A2" s="52"/>
      <c r="B2" s="56"/>
      <c r="C2" s="57"/>
      <c r="D2" s="87"/>
      <c r="E2" s="82"/>
      <c r="F2" s="54"/>
      <c r="G2" s="54"/>
      <c r="H2" s="58" t="s">
        <v>3</v>
      </c>
      <c r="I2" s="58"/>
      <c r="J2" s="58"/>
      <c r="K2" s="58"/>
      <c r="L2" s="58"/>
      <c r="M2" s="58"/>
      <c r="N2" s="58"/>
      <c r="O2" s="58"/>
      <c r="P2" s="58"/>
      <c r="Q2" s="58"/>
      <c r="R2" s="59" t="s">
        <v>4</v>
      </c>
      <c r="S2" s="60"/>
      <c r="T2" s="60"/>
      <c r="U2" s="61" t="s">
        <v>5</v>
      </c>
      <c r="V2" s="62"/>
      <c r="W2" s="63" t="s">
        <v>6</v>
      </c>
      <c r="X2" s="64"/>
      <c r="Y2" s="64"/>
      <c r="Z2" s="64"/>
      <c r="AA2" s="65"/>
    </row>
    <row r="3" spans="1:27" ht="152.25" customHeight="1" x14ac:dyDescent="0.25">
      <c r="A3" s="52"/>
      <c r="B3" s="32" t="s">
        <v>7</v>
      </c>
      <c r="C3" s="32" t="s">
        <v>8</v>
      </c>
      <c r="D3" s="32" t="s">
        <v>59</v>
      </c>
      <c r="E3" s="83"/>
      <c r="F3" s="55"/>
      <c r="G3" s="55"/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4" t="s">
        <v>19</v>
      </c>
      <c r="S3" s="4" t="s">
        <v>20</v>
      </c>
      <c r="T3" s="4" t="s">
        <v>21</v>
      </c>
      <c r="U3" s="5" t="s">
        <v>22</v>
      </c>
      <c r="V3" s="5" t="s">
        <v>23</v>
      </c>
      <c r="W3" s="6" t="s">
        <v>24</v>
      </c>
      <c r="X3" s="6" t="s">
        <v>25</v>
      </c>
      <c r="Y3" s="6" t="s">
        <v>26</v>
      </c>
      <c r="Z3" s="6" t="s">
        <v>27</v>
      </c>
      <c r="AA3" s="6" t="s">
        <v>28</v>
      </c>
    </row>
    <row r="4" spans="1:27" ht="22.5" customHeight="1" x14ac:dyDescent="0.25">
      <c r="A4" s="70">
        <v>5985</v>
      </c>
      <c r="B4" s="73" t="s">
        <v>34</v>
      </c>
      <c r="C4" s="74">
        <v>288</v>
      </c>
      <c r="D4" s="40">
        <v>399</v>
      </c>
      <c r="E4" s="41" t="s">
        <v>60</v>
      </c>
      <c r="F4" s="42">
        <f>D4/660</f>
        <v>0.6045454545454545</v>
      </c>
      <c r="G4" s="70">
        <v>5129</v>
      </c>
      <c r="H4" s="66">
        <v>3076</v>
      </c>
      <c r="I4" s="66">
        <v>5700</v>
      </c>
      <c r="J4" s="66">
        <v>2231</v>
      </c>
      <c r="K4" s="66">
        <v>2656</v>
      </c>
      <c r="L4" s="66">
        <v>3063</v>
      </c>
      <c r="M4" s="66">
        <v>1098</v>
      </c>
      <c r="N4" s="66">
        <v>1733</v>
      </c>
      <c r="O4" s="67">
        <v>1564</v>
      </c>
      <c r="P4" s="66">
        <v>1024</v>
      </c>
      <c r="Q4" s="66">
        <v>3047</v>
      </c>
      <c r="R4" s="67">
        <v>12657</v>
      </c>
      <c r="S4" s="66">
        <v>1408</v>
      </c>
      <c r="T4" s="67">
        <v>1156</v>
      </c>
      <c r="U4" s="66">
        <v>92</v>
      </c>
      <c r="V4" s="66" t="s">
        <v>30</v>
      </c>
      <c r="W4" s="66">
        <v>152</v>
      </c>
      <c r="X4" s="66">
        <v>38</v>
      </c>
      <c r="Y4" s="66">
        <v>145</v>
      </c>
      <c r="Z4" s="67">
        <v>0</v>
      </c>
      <c r="AA4" s="66">
        <v>30</v>
      </c>
    </row>
    <row r="5" spans="1:27" ht="22.5" x14ac:dyDescent="0.25">
      <c r="A5" s="71"/>
      <c r="B5" s="73"/>
      <c r="C5" s="75"/>
      <c r="D5" s="40">
        <v>14</v>
      </c>
      <c r="E5" s="41" t="s">
        <v>5</v>
      </c>
      <c r="F5" s="42">
        <f>D5/660</f>
        <v>2.1212121212121213E-2</v>
      </c>
      <c r="G5" s="71"/>
      <c r="H5" s="66"/>
      <c r="I5" s="66"/>
      <c r="J5" s="66"/>
      <c r="K5" s="66"/>
      <c r="L5" s="66"/>
      <c r="M5" s="66"/>
      <c r="N5" s="66"/>
      <c r="O5" s="68"/>
      <c r="P5" s="66"/>
      <c r="Q5" s="66"/>
      <c r="R5" s="68"/>
      <c r="S5" s="66"/>
      <c r="T5" s="68"/>
      <c r="U5" s="66"/>
      <c r="V5" s="66"/>
      <c r="W5" s="66"/>
      <c r="X5" s="66"/>
      <c r="Y5" s="66"/>
      <c r="Z5" s="68"/>
      <c r="AA5" s="66"/>
    </row>
    <row r="6" spans="1:27" ht="11.25" x14ac:dyDescent="0.25">
      <c r="A6" s="71"/>
      <c r="B6" s="73"/>
      <c r="C6" s="75"/>
      <c r="D6" s="40">
        <v>83</v>
      </c>
      <c r="E6" s="41" t="s">
        <v>6</v>
      </c>
      <c r="F6" s="42">
        <f>D6/660</f>
        <v>0.12575757575757576</v>
      </c>
      <c r="G6" s="71"/>
      <c r="H6" s="66"/>
      <c r="I6" s="66"/>
      <c r="J6" s="66"/>
      <c r="K6" s="66"/>
      <c r="L6" s="66"/>
      <c r="M6" s="66"/>
      <c r="N6" s="66"/>
      <c r="O6" s="68"/>
      <c r="P6" s="66"/>
      <c r="Q6" s="66"/>
      <c r="R6" s="68"/>
      <c r="S6" s="66"/>
      <c r="T6" s="68"/>
      <c r="U6" s="66"/>
      <c r="V6" s="66"/>
      <c r="W6" s="66"/>
      <c r="X6" s="66"/>
      <c r="Y6" s="66"/>
      <c r="Z6" s="68"/>
      <c r="AA6" s="66"/>
    </row>
    <row r="7" spans="1:27" ht="11.25" x14ac:dyDescent="0.25">
      <c r="A7" s="71"/>
      <c r="B7" s="73"/>
      <c r="C7" s="76"/>
      <c r="D7" s="40">
        <v>164</v>
      </c>
      <c r="E7" s="41" t="s">
        <v>4</v>
      </c>
      <c r="F7" s="42">
        <f>D7/660</f>
        <v>0.24848484848484848</v>
      </c>
      <c r="G7" s="71"/>
      <c r="H7" s="66"/>
      <c r="I7" s="66"/>
      <c r="J7" s="66"/>
      <c r="K7" s="66"/>
      <c r="L7" s="66"/>
      <c r="M7" s="66"/>
      <c r="N7" s="66"/>
      <c r="O7" s="69"/>
      <c r="P7" s="66"/>
      <c r="Q7" s="66"/>
      <c r="R7" s="69"/>
      <c r="S7" s="66"/>
      <c r="T7" s="69"/>
      <c r="U7" s="66"/>
      <c r="V7" s="66"/>
      <c r="W7" s="66"/>
      <c r="X7" s="66"/>
      <c r="Y7" s="66"/>
      <c r="Z7" s="69"/>
      <c r="AA7" s="66"/>
    </row>
    <row r="8" spans="1:27" ht="33.75" x14ac:dyDescent="0.25">
      <c r="A8" s="71"/>
      <c r="B8" s="73" t="s">
        <v>61</v>
      </c>
      <c r="C8" s="74">
        <v>144</v>
      </c>
      <c r="D8" s="40">
        <v>259</v>
      </c>
      <c r="E8" s="41" t="s">
        <v>60</v>
      </c>
      <c r="F8" s="43">
        <f>D8/370</f>
        <v>0.7</v>
      </c>
      <c r="G8" s="71"/>
      <c r="H8" s="77">
        <v>2438</v>
      </c>
      <c r="I8" s="77">
        <v>1734</v>
      </c>
      <c r="J8" s="77">
        <v>2036</v>
      </c>
      <c r="K8" s="77">
        <v>1178</v>
      </c>
      <c r="L8" s="77">
        <v>1078</v>
      </c>
      <c r="M8" s="77">
        <v>1205</v>
      </c>
      <c r="N8" s="77">
        <v>822</v>
      </c>
      <c r="O8" s="77">
        <v>1558</v>
      </c>
      <c r="P8" s="77">
        <v>1024</v>
      </c>
      <c r="Q8" s="78">
        <v>2605</v>
      </c>
      <c r="R8" s="78">
        <v>7110</v>
      </c>
      <c r="S8" s="77">
        <v>810</v>
      </c>
      <c r="T8" s="78">
        <v>272</v>
      </c>
      <c r="U8" s="77">
        <v>250</v>
      </c>
      <c r="V8" s="77" t="s">
        <v>30</v>
      </c>
      <c r="W8" s="77">
        <v>20</v>
      </c>
      <c r="X8" s="77">
        <v>17</v>
      </c>
      <c r="Y8" s="77">
        <v>29</v>
      </c>
      <c r="Z8" s="78">
        <v>50</v>
      </c>
      <c r="AA8" s="77">
        <v>0</v>
      </c>
    </row>
    <row r="9" spans="1:27" ht="22.5" x14ac:dyDescent="0.25">
      <c r="A9" s="71"/>
      <c r="B9" s="73"/>
      <c r="C9" s="75"/>
      <c r="D9" s="40">
        <v>10</v>
      </c>
      <c r="E9" s="41" t="s">
        <v>5</v>
      </c>
      <c r="F9" s="43">
        <f>D9/370</f>
        <v>2.7027027027027029E-2</v>
      </c>
      <c r="G9" s="71"/>
      <c r="H9" s="77"/>
      <c r="I9" s="77"/>
      <c r="J9" s="77"/>
      <c r="K9" s="77"/>
      <c r="L9" s="77"/>
      <c r="M9" s="77"/>
      <c r="N9" s="77"/>
      <c r="O9" s="77"/>
      <c r="P9" s="77"/>
      <c r="Q9" s="79"/>
      <c r="R9" s="79"/>
      <c r="S9" s="77"/>
      <c r="T9" s="79"/>
      <c r="U9" s="77"/>
      <c r="V9" s="77"/>
      <c r="W9" s="77"/>
      <c r="X9" s="77"/>
      <c r="Y9" s="77"/>
      <c r="Z9" s="79"/>
      <c r="AA9" s="77"/>
    </row>
    <row r="10" spans="1:27" ht="11.25" x14ac:dyDescent="0.25">
      <c r="A10" s="71"/>
      <c r="B10" s="73"/>
      <c r="C10" s="75"/>
      <c r="D10" s="40">
        <v>18</v>
      </c>
      <c r="E10" s="41" t="s">
        <v>6</v>
      </c>
      <c r="F10" s="43">
        <f>D10/370</f>
        <v>4.8648648648648651E-2</v>
      </c>
      <c r="G10" s="71"/>
      <c r="H10" s="77"/>
      <c r="I10" s="77"/>
      <c r="J10" s="77"/>
      <c r="K10" s="77"/>
      <c r="L10" s="77"/>
      <c r="M10" s="77"/>
      <c r="N10" s="77"/>
      <c r="O10" s="77"/>
      <c r="P10" s="77"/>
      <c r="Q10" s="79"/>
      <c r="R10" s="79"/>
      <c r="S10" s="77"/>
      <c r="T10" s="79"/>
      <c r="U10" s="77"/>
      <c r="V10" s="77"/>
      <c r="W10" s="77"/>
      <c r="X10" s="77"/>
      <c r="Y10" s="77"/>
      <c r="Z10" s="79"/>
      <c r="AA10" s="77"/>
    </row>
    <row r="11" spans="1:27" ht="11.25" x14ac:dyDescent="0.25">
      <c r="A11" s="71"/>
      <c r="B11" s="73"/>
      <c r="C11" s="76"/>
      <c r="D11" s="40">
        <v>83</v>
      </c>
      <c r="E11" s="41" t="s">
        <v>4</v>
      </c>
      <c r="F11" s="43">
        <f>D11/370</f>
        <v>0.22432432432432434</v>
      </c>
      <c r="G11" s="71"/>
      <c r="H11" s="77"/>
      <c r="I11" s="77"/>
      <c r="J11" s="77"/>
      <c r="K11" s="77"/>
      <c r="L11" s="77"/>
      <c r="M11" s="77"/>
      <c r="N11" s="77"/>
      <c r="O11" s="77"/>
      <c r="P11" s="77"/>
      <c r="Q11" s="80"/>
      <c r="R11" s="80"/>
      <c r="S11" s="77"/>
      <c r="T11" s="80"/>
      <c r="U11" s="77"/>
      <c r="V11" s="77"/>
      <c r="W11" s="77"/>
      <c r="X11" s="77"/>
      <c r="Y11" s="77"/>
      <c r="Z11" s="80"/>
      <c r="AA11" s="77"/>
    </row>
    <row r="12" spans="1:27" ht="33.75" x14ac:dyDescent="0.25">
      <c r="A12" s="71"/>
      <c r="B12" s="73" t="s">
        <v>31</v>
      </c>
      <c r="C12" s="74">
        <v>1320</v>
      </c>
      <c r="D12" s="40">
        <v>2705</v>
      </c>
      <c r="E12" s="41" t="s">
        <v>60</v>
      </c>
      <c r="F12" s="43">
        <f>D12/3677</f>
        <v>0.73565406581452275</v>
      </c>
      <c r="G12" s="71"/>
      <c r="H12" s="77">
        <v>42108</v>
      </c>
      <c r="I12" s="77">
        <v>29398</v>
      </c>
      <c r="J12" s="77">
        <v>12441</v>
      </c>
      <c r="K12" s="77">
        <v>14981</v>
      </c>
      <c r="L12" s="77">
        <v>20404</v>
      </c>
      <c r="M12" s="77">
        <v>11946</v>
      </c>
      <c r="N12" s="77">
        <v>15610</v>
      </c>
      <c r="O12" s="77">
        <v>8644</v>
      </c>
      <c r="P12" s="77">
        <v>10197</v>
      </c>
      <c r="Q12" s="78">
        <v>31780</v>
      </c>
      <c r="R12" s="78">
        <v>50564</v>
      </c>
      <c r="S12" s="77">
        <v>6030</v>
      </c>
      <c r="T12" s="78">
        <v>4300</v>
      </c>
      <c r="U12" s="77">
        <v>460</v>
      </c>
      <c r="V12" s="77" t="s">
        <v>30</v>
      </c>
      <c r="W12" s="77">
        <v>40</v>
      </c>
      <c r="X12" s="77">
        <v>86</v>
      </c>
      <c r="Y12" s="77">
        <v>366</v>
      </c>
      <c r="Z12" s="78">
        <v>74</v>
      </c>
      <c r="AA12" s="77">
        <v>45</v>
      </c>
    </row>
    <row r="13" spans="1:27" ht="22.5" x14ac:dyDescent="0.25">
      <c r="A13" s="71"/>
      <c r="B13" s="73"/>
      <c r="C13" s="75"/>
      <c r="D13" s="40">
        <v>68</v>
      </c>
      <c r="E13" s="41" t="s">
        <v>5</v>
      </c>
      <c r="F13" s="43">
        <f>D13/3677</f>
        <v>1.8493336959477837E-2</v>
      </c>
      <c r="G13" s="71"/>
      <c r="H13" s="77"/>
      <c r="I13" s="77"/>
      <c r="J13" s="77"/>
      <c r="K13" s="77"/>
      <c r="L13" s="77"/>
      <c r="M13" s="77"/>
      <c r="N13" s="77"/>
      <c r="O13" s="77"/>
      <c r="P13" s="77"/>
      <c r="Q13" s="79"/>
      <c r="R13" s="79"/>
      <c r="S13" s="77"/>
      <c r="T13" s="79"/>
      <c r="U13" s="77"/>
      <c r="V13" s="77"/>
      <c r="W13" s="77"/>
      <c r="X13" s="77"/>
      <c r="Y13" s="77"/>
      <c r="Z13" s="79"/>
      <c r="AA13" s="77"/>
    </row>
    <row r="14" spans="1:27" ht="11.25" x14ac:dyDescent="0.25">
      <c r="A14" s="71"/>
      <c r="B14" s="73"/>
      <c r="C14" s="75"/>
      <c r="D14" s="40">
        <v>211</v>
      </c>
      <c r="E14" s="41" t="s">
        <v>6</v>
      </c>
      <c r="F14" s="43">
        <f>D14/3677</f>
        <v>5.7383736741909164E-2</v>
      </c>
      <c r="G14" s="71"/>
      <c r="H14" s="77"/>
      <c r="I14" s="77"/>
      <c r="J14" s="77"/>
      <c r="K14" s="77"/>
      <c r="L14" s="77"/>
      <c r="M14" s="77"/>
      <c r="N14" s="77"/>
      <c r="O14" s="77"/>
      <c r="P14" s="77"/>
      <c r="Q14" s="79"/>
      <c r="R14" s="79"/>
      <c r="S14" s="77"/>
      <c r="T14" s="79"/>
      <c r="U14" s="77"/>
      <c r="V14" s="77"/>
      <c r="W14" s="77"/>
      <c r="X14" s="77"/>
      <c r="Y14" s="77"/>
      <c r="Z14" s="79"/>
      <c r="AA14" s="77"/>
    </row>
    <row r="15" spans="1:27" ht="11.25" x14ac:dyDescent="0.25">
      <c r="A15" s="71"/>
      <c r="B15" s="73"/>
      <c r="C15" s="76"/>
      <c r="D15" s="40">
        <v>693</v>
      </c>
      <c r="E15" s="41" t="s">
        <v>4</v>
      </c>
      <c r="F15" s="43">
        <f>D15/3677</f>
        <v>0.18846886048409028</v>
      </c>
      <c r="G15" s="71"/>
      <c r="H15" s="77"/>
      <c r="I15" s="77"/>
      <c r="J15" s="77"/>
      <c r="K15" s="77"/>
      <c r="L15" s="77"/>
      <c r="M15" s="77"/>
      <c r="N15" s="77"/>
      <c r="O15" s="77"/>
      <c r="P15" s="77"/>
      <c r="Q15" s="80"/>
      <c r="R15" s="80"/>
      <c r="S15" s="77"/>
      <c r="T15" s="80"/>
      <c r="U15" s="77"/>
      <c r="V15" s="77"/>
      <c r="W15" s="77"/>
      <c r="X15" s="77"/>
      <c r="Y15" s="77"/>
      <c r="Z15" s="80"/>
      <c r="AA15" s="77"/>
    </row>
    <row r="16" spans="1:27" ht="33.75" x14ac:dyDescent="0.25">
      <c r="A16" s="71"/>
      <c r="B16" s="73" t="s">
        <v>36</v>
      </c>
      <c r="C16" s="74">
        <v>640</v>
      </c>
      <c r="D16" s="40">
        <v>1085</v>
      </c>
      <c r="E16" s="41" t="s">
        <v>60</v>
      </c>
      <c r="F16" s="43">
        <f>D16/1611</f>
        <v>0.67349472377405339</v>
      </c>
      <c r="G16" s="71"/>
      <c r="H16" s="77">
        <v>15354</v>
      </c>
      <c r="I16" s="77">
        <v>16479</v>
      </c>
      <c r="J16" s="77">
        <v>5697</v>
      </c>
      <c r="K16" s="77">
        <v>5378</v>
      </c>
      <c r="L16" s="77">
        <v>6999</v>
      </c>
      <c r="M16" s="77">
        <v>5231</v>
      </c>
      <c r="N16" s="77">
        <v>6743</v>
      </c>
      <c r="O16" s="77">
        <v>2966</v>
      </c>
      <c r="P16" s="77">
        <v>2624</v>
      </c>
      <c r="Q16" s="78">
        <v>13782</v>
      </c>
      <c r="R16" s="78">
        <v>34001</v>
      </c>
      <c r="S16" s="77">
        <v>4140</v>
      </c>
      <c r="T16" s="78">
        <v>2956</v>
      </c>
      <c r="U16" s="77">
        <v>0</v>
      </c>
      <c r="V16" s="77" t="s">
        <v>30</v>
      </c>
      <c r="W16" s="77">
        <v>0</v>
      </c>
      <c r="X16" s="77">
        <v>86</v>
      </c>
      <c r="Y16" s="77">
        <v>225</v>
      </c>
      <c r="Z16" s="78">
        <v>0</v>
      </c>
      <c r="AA16" s="77">
        <v>0</v>
      </c>
    </row>
    <row r="17" spans="1:27" ht="22.5" x14ac:dyDescent="0.25">
      <c r="A17" s="71"/>
      <c r="B17" s="73"/>
      <c r="C17" s="75"/>
      <c r="D17" s="40">
        <v>28</v>
      </c>
      <c r="E17" s="41" t="s">
        <v>5</v>
      </c>
      <c r="F17" s="43">
        <f>D17/1611</f>
        <v>1.7380509000620731E-2</v>
      </c>
      <c r="G17" s="71"/>
      <c r="H17" s="77"/>
      <c r="I17" s="77"/>
      <c r="J17" s="77"/>
      <c r="K17" s="77"/>
      <c r="L17" s="77"/>
      <c r="M17" s="77"/>
      <c r="N17" s="77"/>
      <c r="O17" s="77"/>
      <c r="P17" s="77"/>
      <c r="Q17" s="79"/>
      <c r="R17" s="79"/>
      <c r="S17" s="77"/>
      <c r="T17" s="79"/>
      <c r="U17" s="77"/>
      <c r="V17" s="77"/>
      <c r="W17" s="77"/>
      <c r="X17" s="77"/>
      <c r="Y17" s="77"/>
      <c r="Z17" s="79"/>
      <c r="AA17" s="77"/>
    </row>
    <row r="18" spans="1:27" ht="11.25" x14ac:dyDescent="0.25">
      <c r="A18" s="71"/>
      <c r="B18" s="73"/>
      <c r="C18" s="75"/>
      <c r="D18" s="40">
        <v>113</v>
      </c>
      <c r="E18" s="41" t="s">
        <v>6</v>
      </c>
      <c r="F18" s="43">
        <f>D18/1611</f>
        <v>7.0142768466790809E-2</v>
      </c>
      <c r="G18" s="71"/>
      <c r="H18" s="77"/>
      <c r="I18" s="77"/>
      <c r="J18" s="77"/>
      <c r="K18" s="77"/>
      <c r="L18" s="77"/>
      <c r="M18" s="77"/>
      <c r="N18" s="77"/>
      <c r="O18" s="77"/>
      <c r="P18" s="77"/>
      <c r="Q18" s="79"/>
      <c r="R18" s="79"/>
      <c r="S18" s="77"/>
      <c r="T18" s="79"/>
      <c r="U18" s="77"/>
      <c r="V18" s="77"/>
      <c r="W18" s="77"/>
      <c r="X18" s="77"/>
      <c r="Y18" s="77"/>
      <c r="Z18" s="79"/>
      <c r="AA18" s="77"/>
    </row>
    <row r="19" spans="1:27" ht="11.25" x14ac:dyDescent="0.25">
      <c r="A19" s="71"/>
      <c r="B19" s="73"/>
      <c r="C19" s="76"/>
      <c r="D19" s="40">
        <v>385</v>
      </c>
      <c r="E19" s="41" t="s">
        <v>4</v>
      </c>
      <c r="F19" s="43">
        <f>D19/1611</f>
        <v>0.23898199875853507</v>
      </c>
      <c r="G19" s="71"/>
      <c r="H19" s="77"/>
      <c r="I19" s="77"/>
      <c r="J19" s="77"/>
      <c r="K19" s="77"/>
      <c r="L19" s="77"/>
      <c r="M19" s="77"/>
      <c r="N19" s="77"/>
      <c r="O19" s="77"/>
      <c r="P19" s="77"/>
      <c r="Q19" s="80"/>
      <c r="R19" s="80"/>
      <c r="S19" s="77"/>
      <c r="T19" s="80"/>
      <c r="U19" s="77"/>
      <c r="V19" s="77"/>
      <c r="W19" s="77"/>
      <c r="X19" s="77"/>
      <c r="Y19" s="77"/>
      <c r="Z19" s="80"/>
      <c r="AA19" s="77"/>
    </row>
    <row r="20" spans="1:27" ht="33.75" x14ac:dyDescent="0.25">
      <c r="A20" s="71"/>
      <c r="B20" s="73" t="s">
        <v>37</v>
      </c>
      <c r="C20" s="74">
        <v>202</v>
      </c>
      <c r="D20" s="40">
        <v>463</v>
      </c>
      <c r="E20" s="41" t="s">
        <v>60</v>
      </c>
      <c r="F20" s="43">
        <f>D20/610</f>
        <v>0.75901639344262295</v>
      </c>
      <c r="G20" s="71"/>
      <c r="H20" s="77">
        <v>3894</v>
      </c>
      <c r="I20" s="77">
        <v>4892</v>
      </c>
      <c r="J20" s="77">
        <v>2162</v>
      </c>
      <c r="K20" s="77">
        <v>1530</v>
      </c>
      <c r="L20" s="77">
        <v>2269</v>
      </c>
      <c r="M20" s="77">
        <v>1499</v>
      </c>
      <c r="N20" s="77">
        <v>2346</v>
      </c>
      <c r="O20" s="77">
        <v>1545</v>
      </c>
      <c r="P20" s="77">
        <v>785</v>
      </c>
      <c r="Q20" s="78">
        <v>3967</v>
      </c>
      <c r="R20" s="78">
        <v>6118</v>
      </c>
      <c r="S20" s="77">
        <v>1110</v>
      </c>
      <c r="T20" s="78">
        <v>512</v>
      </c>
      <c r="U20" s="77">
        <v>0</v>
      </c>
      <c r="V20" s="77" t="s">
        <v>30</v>
      </c>
      <c r="W20" s="77">
        <v>92</v>
      </c>
      <c r="X20" s="77">
        <v>24</v>
      </c>
      <c r="Y20" s="77">
        <v>67</v>
      </c>
      <c r="Z20" s="78">
        <v>37</v>
      </c>
      <c r="AA20" s="77">
        <v>0</v>
      </c>
    </row>
    <row r="21" spans="1:27" ht="22.5" x14ac:dyDescent="0.25">
      <c r="A21" s="71"/>
      <c r="B21" s="73"/>
      <c r="C21" s="75"/>
      <c r="D21" s="40">
        <v>7</v>
      </c>
      <c r="E21" s="41" t="s">
        <v>5</v>
      </c>
      <c r="F21" s="43">
        <f>D21/610</f>
        <v>1.1475409836065573E-2</v>
      </c>
      <c r="G21" s="71"/>
      <c r="H21" s="77"/>
      <c r="I21" s="77"/>
      <c r="J21" s="77"/>
      <c r="K21" s="77"/>
      <c r="L21" s="77"/>
      <c r="M21" s="77"/>
      <c r="N21" s="77"/>
      <c r="O21" s="77"/>
      <c r="P21" s="77"/>
      <c r="Q21" s="79"/>
      <c r="R21" s="79"/>
      <c r="S21" s="77"/>
      <c r="T21" s="79"/>
      <c r="U21" s="77"/>
      <c r="V21" s="77"/>
      <c r="W21" s="77"/>
      <c r="X21" s="77"/>
      <c r="Y21" s="77"/>
      <c r="Z21" s="79"/>
      <c r="AA21" s="77"/>
    </row>
    <row r="22" spans="1:27" ht="11.25" x14ac:dyDescent="0.25">
      <c r="A22" s="71"/>
      <c r="B22" s="73"/>
      <c r="C22" s="75"/>
      <c r="D22" s="40">
        <v>52</v>
      </c>
      <c r="E22" s="41" t="s">
        <v>6</v>
      </c>
      <c r="F22" s="43">
        <f>D22/610</f>
        <v>8.5245901639344257E-2</v>
      </c>
      <c r="G22" s="71"/>
      <c r="H22" s="77"/>
      <c r="I22" s="77"/>
      <c r="J22" s="77"/>
      <c r="K22" s="77"/>
      <c r="L22" s="77"/>
      <c r="M22" s="77"/>
      <c r="N22" s="77"/>
      <c r="O22" s="77"/>
      <c r="P22" s="77"/>
      <c r="Q22" s="79"/>
      <c r="R22" s="79"/>
      <c r="S22" s="77"/>
      <c r="T22" s="79"/>
      <c r="U22" s="77"/>
      <c r="V22" s="77"/>
      <c r="W22" s="77"/>
      <c r="X22" s="77"/>
      <c r="Y22" s="77"/>
      <c r="Z22" s="79"/>
      <c r="AA22" s="77"/>
    </row>
    <row r="23" spans="1:27" ht="11.25" x14ac:dyDescent="0.25">
      <c r="A23" s="71"/>
      <c r="B23" s="73"/>
      <c r="C23" s="76"/>
      <c r="D23" s="40">
        <v>88</v>
      </c>
      <c r="E23" s="41" t="s">
        <v>4</v>
      </c>
      <c r="F23" s="43">
        <f>D23/610</f>
        <v>0.14426229508196722</v>
      </c>
      <c r="G23" s="71"/>
      <c r="H23" s="77"/>
      <c r="I23" s="77"/>
      <c r="J23" s="77"/>
      <c r="K23" s="77"/>
      <c r="L23" s="77"/>
      <c r="M23" s="77"/>
      <c r="N23" s="77"/>
      <c r="O23" s="77"/>
      <c r="P23" s="77"/>
      <c r="Q23" s="80"/>
      <c r="R23" s="80"/>
      <c r="S23" s="77"/>
      <c r="T23" s="80"/>
      <c r="U23" s="77"/>
      <c r="V23" s="77"/>
      <c r="W23" s="77"/>
      <c r="X23" s="77"/>
      <c r="Y23" s="77"/>
      <c r="Z23" s="80"/>
      <c r="AA23" s="77"/>
    </row>
    <row r="24" spans="1:27" ht="33.75" x14ac:dyDescent="0.25">
      <c r="A24" s="71"/>
      <c r="B24" s="73" t="s">
        <v>35</v>
      </c>
      <c r="C24" s="74">
        <v>327</v>
      </c>
      <c r="D24" s="40">
        <v>622</v>
      </c>
      <c r="E24" s="41" t="s">
        <v>60</v>
      </c>
      <c r="F24" s="43">
        <f>D24/855</f>
        <v>0.72748538011695907</v>
      </c>
      <c r="G24" s="71"/>
      <c r="H24" s="77">
        <v>3826</v>
      </c>
      <c r="I24" s="77">
        <v>6272</v>
      </c>
      <c r="J24" s="77">
        <v>1793</v>
      </c>
      <c r="K24" s="77">
        <v>1849</v>
      </c>
      <c r="L24" s="78">
        <v>3428</v>
      </c>
      <c r="M24" s="78">
        <v>2270</v>
      </c>
      <c r="N24" s="78">
        <v>1849</v>
      </c>
      <c r="O24" s="78">
        <v>996</v>
      </c>
      <c r="P24" s="78">
        <v>2998</v>
      </c>
      <c r="Q24" s="78">
        <v>6793</v>
      </c>
      <c r="R24" s="78">
        <v>9948</v>
      </c>
      <c r="S24" s="78">
        <v>720</v>
      </c>
      <c r="T24" s="78">
        <v>450</v>
      </c>
      <c r="U24" s="78">
        <v>0</v>
      </c>
      <c r="V24" s="77" t="s">
        <v>30</v>
      </c>
      <c r="W24" s="78">
        <v>0</v>
      </c>
      <c r="X24" s="78">
        <v>12</v>
      </c>
      <c r="Y24" s="78">
        <v>99</v>
      </c>
      <c r="Z24" s="78">
        <v>0</v>
      </c>
      <c r="AA24" s="78">
        <v>42</v>
      </c>
    </row>
    <row r="25" spans="1:27" ht="22.5" x14ac:dyDescent="0.25">
      <c r="A25" s="71"/>
      <c r="B25" s="73"/>
      <c r="C25" s="75"/>
      <c r="D25" s="40">
        <v>7</v>
      </c>
      <c r="E25" s="41" t="s">
        <v>5</v>
      </c>
      <c r="F25" s="43">
        <f>D25/855</f>
        <v>8.1871345029239772E-3</v>
      </c>
      <c r="G25" s="71"/>
      <c r="H25" s="77"/>
      <c r="I25" s="77"/>
      <c r="J25" s="77"/>
      <c r="K25" s="77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7"/>
      <c r="W25" s="79"/>
      <c r="X25" s="79"/>
      <c r="Y25" s="79"/>
      <c r="Z25" s="79"/>
      <c r="AA25" s="79"/>
    </row>
    <row r="26" spans="1:27" ht="11.25" x14ac:dyDescent="0.25">
      <c r="A26" s="71"/>
      <c r="B26" s="73"/>
      <c r="C26" s="75"/>
      <c r="D26" s="40">
        <v>49</v>
      </c>
      <c r="E26" s="41" t="s">
        <v>6</v>
      </c>
      <c r="F26" s="43">
        <f>D26/855</f>
        <v>5.7309941520467839E-2</v>
      </c>
      <c r="G26" s="71"/>
      <c r="H26" s="77"/>
      <c r="I26" s="77"/>
      <c r="J26" s="77"/>
      <c r="K26" s="77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7"/>
      <c r="W26" s="79"/>
      <c r="X26" s="79"/>
      <c r="Y26" s="79"/>
      <c r="Z26" s="79"/>
      <c r="AA26" s="79"/>
    </row>
    <row r="27" spans="1:27" ht="11.25" x14ac:dyDescent="0.25">
      <c r="A27" s="71"/>
      <c r="B27" s="73"/>
      <c r="C27" s="76"/>
      <c r="D27" s="40">
        <v>177</v>
      </c>
      <c r="E27" s="41" t="s">
        <v>4</v>
      </c>
      <c r="F27" s="43">
        <f>D27/855</f>
        <v>0.20701754385964913</v>
      </c>
      <c r="G27" s="71"/>
      <c r="H27" s="77"/>
      <c r="I27" s="77"/>
      <c r="J27" s="77"/>
      <c r="K27" s="77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77"/>
      <c r="W27" s="80"/>
      <c r="X27" s="80"/>
      <c r="Y27" s="80"/>
      <c r="Z27" s="80"/>
      <c r="AA27" s="80"/>
    </row>
    <row r="28" spans="1:27" ht="33.75" x14ac:dyDescent="0.25">
      <c r="A28" s="71"/>
      <c r="B28" s="73" t="s">
        <v>54</v>
      </c>
      <c r="C28" s="74">
        <v>413</v>
      </c>
      <c r="D28" s="40">
        <v>737</v>
      </c>
      <c r="E28" s="41" t="s">
        <v>60</v>
      </c>
      <c r="F28" s="43">
        <f>D28/1006</f>
        <v>0.73260437375745524</v>
      </c>
      <c r="G28" s="71"/>
      <c r="H28" s="77">
        <v>7205</v>
      </c>
      <c r="I28" s="77">
        <v>12534</v>
      </c>
      <c r="J28" s="77">
        <v>3019</v>
      </c>
      <c r="K28" s="77">
        <v>2799</v>
      </c>
      <c r="L28" s="77">
        <v>5173</v>
      </c>
      <c r="M28" s="77">
        <v>2672</v>
      </c>
      <c r="N28" s="77">
        <v>3284</v>
      </c>
      <c r="O28" s="77">
        <v>3520</v>
      </c>
      <c r="P28" s="77">
        <v>2692</v>
      </c>
      <c r="Q28" s="78">
        <v>5217</v>
      </c>
      <c r="R28" s="78">
        <v>12890</v>
      </c>
      <c r="S28" s="77">
        <v>1800</v>
      </c>
      <c r="T28" s="78">
        <v>1092</v>
      </c>
      <c r="U28" s="77">
        <v>300</v>
      </c>
      <c r="V28" s="77" t="s">
        <v>30</v>
      </c>
      <c r="W28" s="77">
        <v>46</v>
      </c>
      <c r="X28" s="77">
        <v>50</v>
      </c>
      <c r="Y28" s="77">
        <v>102</v>
      </c>
      <c r="Z28" s="78">
        <v>37</v>
      </c>
      <c r="AA28" s="77">
        <v>28</v>
      </c>
    </row>
    <row r="29" spans="1:27" ht="22.5" x14ac:dyDescent="0.25">
      <c r="A29" s="71"/>
      <c r="B29" s="73"/>
      <c r="C29" s="75"/>
      <c r="D29" s="40">
        <v>25</v>
      </c>
      <c r="E29" s="41" t="s">
        <v>5</v>
      </c>
      <c r="F29" s="43">
        <f>D29/1006</f>
        <v>2.4850894632206761E-2</v>
      </c>
      <c r="G29" s="71"/>
      <c r="H29" s="77"/>
      <c r="I29" s="77"/>
      <c r="J29" s="77"/>
      <c r="K29" s="77"/>
      <c r="L29" s="77"/>
      <c r="M29" s="77"/>
      <c r="N29" s="77"/>
      <c r="O29" s="77"/>
      <c r="P29" s="77"/>
      <c r="Q29" s="79"/>
      <c r="R29" s="79"/>
      <c r="S29" s="77"/>
      <c r="T29" s="79"/>
      <c r="U29" s="77"/>
      <c r="V29" s="77"/>
      <c r="W29" s="77"/>
      <c r="X29" s="77"/>
      <c r="Y29" s="77"/>
      <c r="Z29" s="79"/>
      <c r="AA29" s="77"/>
    </row>
    <row r="30" spans="1:27" ht="11.25" x14ac:dyDescent="0.25">
      <c r="A30" s="71"/>
      <c r="B30" s="73"/>
      <c r="C30" s="75"/>
      <c r="D30" s="40">
        <v>71</v>
      </c>
      <c r="E30" s="41" t="s">
        <v>6</v>
      </c>
      <c r="F30" s="43">
        <f>D30/1006</f>
        <v>7.0576540755467196E-2</v>
      </c>
      <c r="G30" s="71"/>
      <c r="H30" s="77"/>
      <c r="I30" s="77"/>
      <c r="J30" s="77"/>
      <c r="K30" s="77"/>
      <c r="L30" s="77"/>
      <c r="M30" s="77"/>
      <c r="N30" s="77"/>
      <c r="O30" s="77"/>
      <c r="P30" s="77"/>
      <c r="Q30" s="79"/>
      <c r="R30" s="79"/>
      <c r="S30" s="77"/>
      <c r="T30" s="79"/>
      <c r="U30" s="77"/>
      <c r="V30" s="77"/>
      <c r="W30" s="77"/>
      <c r="X30" s="77"/>
      <c r="Y30" s="77"/>
      <c r="Z30" s="79"/>
      <c r="AA30" s="77"/>
    </row>
    <row r="31" spans="1:27" ht="11.25" x14ac:dyDescent="0.25">
      <c r="A31" s="71"/>
      <c r="B31" s="73"/>
      <c r="C31" s="76"/>
      <c r="D31" s="40">
        <v>173</v>
      </c>
      <c r="E31" s="41" t="s">
        <v>4</v>
      </c>
      <c r="F31" s="43">
        <f>D31/1006</f>
        <v>0.17196819085487078</v>
      </c>
      <c r="G31" s="71"/>
      <c r="H31" s="77"/>
      <c r="I31" s="77"/>
      <c r="J31" s="77"/>
      <c r="K31" s="77"/>
      <c r="L31" s="77"/>
      <c r="M31" s="77"/>
      <c r="N31" s="77"/>
      <c r="O31" s="77"/>
      <c r="P31" s="77"/>
      <c r="Q31" s="80"/>
      <c r="R31" s="80"/>
      <c r="S31" s="77"/>
      <c r="T31" s="80"/>
      <c r="U31" s="77"/>
      <c r="V31" s="77"/>
      <c r="W31" s="77"/>
      <c r="X31" s="77"/>
      <c r="Y31" s="77"/>
      <c r="Z31" s="80"/>
      <c r="AA31" s="77"/>
    </row>
    <row r="32" spans="1:27" ht="33.75" x14ac:dyDescent="0.25">
      <c r="A32" s="71"/>
      <c r="B32" s="73" t="s">
        <v>38</v>
      </c>
      <c r="C32" s="74">
        <v>76</v>
      </c>
      <c r="D32" s="40">
        <v>142</v>
      </c>
      <c r="E32" s="41" t="s">
        <v>60</v>
      </c>
      <c r="F32" s="43">
        <f>D32/197</f>
        <v>0.7208121827411168</v>
      </c>
      <c r="G32" s="71"/>
      <c r="H32" s="77">
        <v>2390</v>
      </c>
      <c r="I32" s="77">
        <v>828</v>
      </c>
      <c r="J32" s="77">
        <v>1140</v>
      </c>
      <c r="K32" s="77">
        <v>1040</v>
      </c>
      <c r="L32" s="77">
        <v>1403</v>
      </c>
      <c r="M32" s="77">
        <v>536</v>
      </c>
      <c r="N32" s="77">
        <v>644</v>
      </c>
      <c r="O32" s="77">
        <v>184</v>
      </c>
      <c r="P32" s="77">
        <v>60</v>
      </c>
      <c r="Q32" s="78">
        <v>1975</v>
      </c>
      <c r="R32" s="78">
        <v>4132</v>
      </c>
      <c r="S32" s="77">
        <v>360</v>
      </c>
      <c r="T32" s="78">
        <v>92</v>
      </c>
      <c r="U32" s="77">
        <v>0</v>
      </c>
      <c r="V32" s="77" t="s">
        <v>30</v>
      </c>
      <c r="W32" s="77">
        <v>0</v>
      </c>
      <c r="X32" s="77">
        <v>7</v>
      </c>
      <c r="Y32" s="77">
        <v>21</v>
      </c>
      <c r="Z32" s="78">
        <v>0</v>
      </c>
      <c r="AA32" s="77">
        <v>0</v>
      </c>
    </row>
    <row r="33" spans="1:27" ht="22.5" x14ac:dyDescent="0.25">
      <c r="A33" s="71"/>
      <c r="B33" s="73"/>
      <c r="C33" s="75"/>
      <c r="D33" s="40">
        <v>15</v>
      </c>
      <c r="E33" s="41" t="s">
        <v>5</v>
      </c>
      <c r="F33" s="43">
        <f>D33/197</f>
        <v>7.6142131979695438E-2</v>
      </c>
      <c r="G33" s="71"/>
      <c r="H33" s="77"/>
      <c r="I33" s="77"/>
      <c r="J33" s="77"/>
      <c r="K33" s="77"/>
      <c r="L33" s="77"/>
      <c r="M33" s="77"/>
      <c r="N33" s="77"/>
      <c r="O33" s="77"/>
      <c r="P33" s="77"/>
      <c r="Q33" s="79"/>
      <c r="R33" s="79"/>
      <c r="S33" s="77"/>
      <c r="T33" s="79"/>
      <c r="U33" s="77"/>
      <c r="V33" s="77"/>
      <c r="W33" s="77"/>
      <c r="X33" s="77"/>
      <c r="Y33" s="77"/>
      <c r="Z33" s="79"/>
      <c r="AA33" s="77"/>
    </row>
    <row r="34" spans="1:27" ht="11.25" x14ac:dyDescent="0.25">
      <c r="A34" s="71"/>
      <c r="B34" s="73"/>
      <c r="C34" s="75"/>
      <c r="D34" s="40">
        <v>1</v>
      </c>
      <c r="E34" s="41" t="s">
        <v>6</v>
      </c>
      <c r="F34" s="43">
        <f>D34/197</f>
        <v>5.076142131979695E-3</v>
      </c>
      <c r="G34" s="71"/>
      <c r="H34" s="77"/>
      <c r="I34" s="77"/>
      <c r="J34" s="77"/>
      <c r="K34" s="77"/>
      <c r="L34" s="77"/>
      <c r="M34" s="77"/>
      <c r="N34" s="77"/>
      <c r="O34" s="77"/>
      <c r="P34" s="77"/>
      <c r="Q34" s="79"/>
      <c r="R34" s="79"/>
      <c r="S34" s="77"/>
      <c r="T34" s="79"/>
      <c r="U34" s="77"/>
      <c r="V34" s="77"/>
      <c r="W34" s="77"/>
      <c r="X34" s="77"/>
      <c r="Y34" s="77"/>
      <c r="Z34" s="79"/>
      <c r="AA34" s="77"/>
    </row>
    <row r="35" spans="1:27" ht="11.25" x14ac:dyDescent="0.25">
      <c r="A35" s="71"/>
      <c r="B35" s="73"/>
      <c r="C35" s="76"/>
      <c r="D35" s="40">
        <v>39</v>
      </c>
      <c r="E35" s="41" t="s">
        <v>4</v>
      </c>
      <c r="F35" s="43">
        <f>D35/197</f>
        <v>0.19796954314720813</v>
      </c>
      <c r="G35" s="71"/>
      <c r="H35" s="77"/>
      <c r="I35" s="77"/>
      <c r="J35" s="77"/>
      <c r="K35" s="77"/>
      <c r="L35" s="77"/>
      <c r="M35" s="77"/>
      <c r="N35" s="77"/>
      <c r="O35" s="77"/>
      <c r="P35" s="77"/>
      <c r="Q35" s="80"/>
      <c r="R35" s="80"/>
      <c r="S35" s="77"/>
      <c r="T35" s="80"/>
      <c r="U35" s="77"/>
      <c r="V35" s="77"/>
      <c r="W35" s="77"/>
      <c r="X35" s="77"/>
      <c r="Y35" s="77"/>
      <c r="Z35" s="80"/>
      <c r="AA35" s="77"/>
    </row>
    <row r="36" spans="1:27" ht="33.75" x14ac:dyDescent="0.25">
      <c r="A36" s="71"/>
      <c r="B36" s="73" t="s">
        <v>62</v>
      </c>
      <c r="C36" s="74">
        <v>1546</v>
      </c>
      <c r="D36" s="40">
        <v>2682</v>
      </c>
      <c r="E36" s="41" t="s">
        <v>60</v>
      </c>
      <c r="F36" s="43">
        <f>D36/4039</f>
        <v>0.66402574894775934</v>
      </c>
      <c r="G36" s="71"/>
      <c r="H36" s="77">
        <v>27892</v>
      </c>
      <c r="I36" s="77">
        <v>20638</v>
      </c>
      <c r="J36" s="77">
        <v>32330</v>
      </c>
      <c r="K36" s="77">
        <v>16547</v>
      </c>
      <c r="L36" s="77">
        <v>17750</v>
      </c>
      <c r="M36" s="77">
        <v>7997</v>
      </c>
      <c r="N36" s="77">
        <v>20902</v>
      </c>
      <c r="O36" s="77">
        <v>10024</v>
      </c>
      <c r="P36" s="77">
        <v>10020</v>
      </c>
      <c r="Q36" s="78">
        <v>28528</v>
      </c>
      <c r="R36" s="78">
        <v>74679</v>
      </c>
      <c r="S36" s="77">
        <v>11016</v>
      </c>
      <c r="T36" s="78">
        <v>7804</v>
      </c>
      <c r="U36" s="77">
        <v>1348</v>
      </c>
      <c r="V36" s="77" t="s">
        <v>30</v>
      </c>
      <c r="W36" s="77">
        <v>184</v>
      </c>
      <c r="X36" s="77">
        <v>220</v>
      </c>
      <c r="Y36" s="77">
        <v>713</v>
      </c>
      <c r="Z36" s="78">
        <v>92</v>
      </c>
      <c r="AA36" s="77">
        <v>241</v>
      </c>
    </row>
    <row r="37" spans="1:27" ht="22.5" x14ac:dyDescent="0.25">
      <c r="A37" s="71"/>
      <c r="B37" s="73"/>
      <c r="C37" s="75"/>
      <c r="D37" s="40">
        <v>129</v>
      </c>
      <c r="E37" s="41" t="s">
        <v>5</v>
      </c>
      <c r="F37" s="43">
        <f>D37/4039</f>
        <v>3.1938598663035403E-2</v>
      </c>
      <c r="G37" s="71"/>
      <c r="H37" s="77"/>
      <c r="I37" s="77"/>
      <c r="J37" s="77"/>
      <c r="K37" s="77"/>
      <c r="L37" s="77"/>
      <c r="M37" s="77"/>
      <c r="N37" s="77"/>
      <c r="O37" s="77"/>
      <c r="P37" s="77"/>
      <c r="Q37" s="79"/>
      <c r="R37" s="79"/>
      <c r="S37" s="77"/>
      <c r="T37" s="79"/>
      <c r="U37" s="77"/>
      <c r="V37" s="77"/>
      <c r="W37" s="77"/>
      <c r="X37" s="77"/>
      <c r="Y37" s="77"/>
      <c r="Z37" s="79"/>
      <c r="AA37" s="77"/>
    </row>
    <row r="38" spans="1:27" ht="11.25" x14ac:dyDescent="0.25">
      <c r="A38" s="71"/>
      <c r="B38" s="73"/>
      <c r="C38" s="75"/>
      <c r="D38" s="40">
        <v>337</v>
      </c>
      <c r="E38" s="41" t="s">
        <v>6</v>
      </c>
      <c r="F38" s="43">
        <f>D38/4039</f>
        <v>8.3436494181728146E-2</v>
      </c>
      <c r="G38" s="71"/>
      <c r="H38" s="77"/>
      <c r="I38" s="77"/>
      <c r="J38" s="77"/>
      <c r="K38" s="77"/>
      <c r="L38" s="77"/>
      <c r="M38" s="77"/>
      <c r="N38" s="77"/>
      <c r="O38" s="77"/>
      <c r="P38" s="77"/>
      <c r="Q38" s="79"/>
      <c r="R38" s="79"/>
      <c r="S38" s="77"/>
      <c r="T38" s="79"/>
      <c r="U38" s="77"/>
      <c r="V38" s="77"/>
      <c r="W38" s="77"/>
      <c r="X38" s="77"/>
      <c r="Y38" s="77"/>
      <c r="Z38" s="79"/>
      <c r="AA38" s="77"/>
    </row>
    <row r="39" spans="1:27" ht="11.25" x14ac:dyDescent="0.25">
      <c r="A39" s="71"/>
      <c r="B39" s="73"/>
      <c r="C39" s="76"/>
      <c r="D39" s="40">
        <v>891</v>
      </c>
      <c r="E39" s="41" t="s">
        <v>4</v>
      </c>
      <c r="F39" s="43">
        <f>D39/4039</f>
        <v>0.22059915820747711</v>
      </c>
      <c r="G39" s="71"/>
      <c r="H39" s="77"/>
      <c r="I39" s="77"/>
      <c r="J39" s="77"/>
      <c r="K39" s="77"/>
      <c r="L39" s="77"/>
      <c r="M39" s="77"/>
      <c r="N39" s="77"/>
      <c r="O39" s="77"/>
      <c r="P39" s="77"/>
      <c r="Q39" s="80"/>
      <c r="R39" s="80"/>
      <c r="S39" s="77"/>
      <c r="T39" s="80"/>
      <c r="U39" s="77"/>
      <c r="V39" s="77"/>
      <c r="W39" s="77"/>
      <c r="X39" s="77"/>
      <c r="Y39" s="77"/>
      <c r="Z39" s="80"/>
      <c r="AA39" s="77"/>
    </row>
    <row r="40" spans="1:27" ht="33.75" x14ac:dyDescent="0.25">
      <c r="A40" s="71"/>
      <c r="B40" s="73" t="s">
        <v>40</v>
      </c>
      <c r="C40" s="74">
        <v>372</v>
      </c>
      <c r="D40" s="40">
        <v>631</v>
      </c>
      <c r="E40" s="41" t="s">
        <v>60</v>
      </c>
      <c r="F40" s="43">
        <f>D40/929</f>
        <v>0.67922497308934338</v>
      </c>
      <c r="G40" s="71"/>
      <c r="H40" s="77">
        <v>4700</v>
      </c>
      <c r="I40" s="77">
        <v>4795</v>
      </c>
      <c r="J40" s="77">
        <v>4624</v>
      </c>
      <c r="K40" s="77">
        <v>2469</v>
      </c>
      <c r="L40" s="77">
        <v>3193</v>
      </c>
      <c r="M40" s="77">
        <v>1648</v>
      </c>
      <c r="N40" s="77">
        <v>5155</v>
      </c>
      <c r="O40" s="77">
        <v>818</v>
      </c>
      <c r="P40" s="77">
        <v>761</v>
      </c>
      <c r="Q40" s="78">
        <v>6926</v>
      </c>
      <c r="R40" s="78">
        <v>13120</v>
      </c>
      <c r="S40" s="77">
        <v>2910</v>
      </c>
      <c r="T40" s="78">
        <v>1160</v>
      </c>
      <c r="U40" s="77">
        <v>0</v>
      </c>
      <c r="V40" s="77" t="s">
        <v>30</v>
      </c>
      <c r="W40" s="77">
        <v>0</v>
      </c>
      <c r="X40" s="77">
        <v>29</v>
      </c>
      <c r="Y40" s="77">
        <v>51</v>
      </c>
      <c r="Z40" s="78">
        <v>0</v>
      </c>
      <c r="AA40" s="77">
        <v>0</v>
      </c>
    </row>
    <row r="41" spans="1:27" ht="22.5" x14ac:dyDescent="0.25">
      <c r="A41" s="71"/>
      <c r="B41" s="73"/>
      <c r="C41" s="75"/>
      <c r="D41" s="40">
        <v>32</v>
      </c>
      <c r="E41" s="41" t="s">
        <v>5</v>
      </c>
      <c r="F41" s="43">
        <f>D41/929</f>
        <v>3.4445640473627553E-2</v>
      </c>
      <c r="G41" s="71"/>
      <c r="H41" s="77"/>
      <c r="I41" s="77"/>
      <c r="J41" s="77"/>
      <c r="K41" s="77"/>
      <c r="L41" s="77"/>
      <c r="M41" s="77"/>
      <c r="N41" s="77"/>
      <c r="O41" s="77"/>
      <c r="P41" s="77"/>
      <c r="Q41" s="79"/>
      <c r="R41" s="79"/>
      <c r="S41" s="77"/>
      <c r="T41" s="79"/>
      <c r="U41" s="77"/>
      <c r="V41" s="77"/>
      <c r="W41" s="77"/>
      <c r="X41" s="77"/>
      <c r="Y41" s="77"/>
      <c r="Z41" s="79"/>
      <c r="AA41" s="77"/>
    </row>
    <row r="42" spans="1:27" ht="11.25" x14ac:dyDescent="0.25">
      <c r="A42" s="71"/>
      <c r="B42" s="73"/>
      <c r="C42" s="75"/>
      <c r="D42" s="40">
        <v>35</v>
      </c>
      <c r="E42" s="41" t="s">
        <v>6</v>
      </c>
      <c r="F42" s="43">
        <f>D42/929</f>
        <v>3.7674919268030141E-2</v>
      </c>
      <c r="G42" s="71"/>
      <c r="H42" s="77"/>
      <c r="I42" s="77"/>
      <c r="J42" s="77"/>
      <c r="K42" s="77"/>
      <c r="L42" s="77"/>
      <c r="M42" s="77"/>
      <c r="N42" s="77"/>
      <c r="O42" s="77"/>
      <c r="P42" s="77"/>
      <c r="Q42" s="79"/>
      <c r="R42" s="79"/>
      <c r="S42" s="77"/>
      <c r="T42" s="79"/>
      <c r="U42" s="77"/>
      <c r="V42" s="77"/>
      <c r="W42" s="77"/>
      <c r="X42" s="77"/>
      <c r="Y42" s="77"/>
      <c r="Z42" s="79"/>
      <c r="AA42" s="77"/>
    </row>
    <row r="43" spans="1:27" ht="11.25" x14ac:dyDescent="0.25">
      <c r="A43" s="71"/>
      <c r="B43" s="73"/>
      <c r="C43" s="76"/>
      <c r="D43" s="40">
        <v>231</v>
      </c>
      <c r="E43" s="41" t="s">
        <v>4</v>
      </c>
      <c r="F43" s="43">
        <f>D43/929</f>
        <v>0.24865446716899892</v>
      </c>
      <c r="G43" s="71"/>
      <c r="H43" s="77"/>
      <c r="I43" s="77"/>
      <c r="J43" s="77"/>
      <c r="K43" s="77"/>
      <c r="L43" s="77"/>
      <c r="M43" s="77"/>
      <c r="N43" s="77"/>
      <c r="O43" s="77"/>
      <c r="P43" s="77"/>
      <c r="Q43" s="80"/>
      <c r="R43" s="80"/>
      <c r="S43" s="77"/>
      <c r="T43" s="80"/>
      <c r="U43" s="77"/>
      <c r="V43" s="77"/>
      <c r="W43" s="77"/>
      <c r="X43" s="77"/>
      <c r="Y43" s="77"/>
      <c r="Z43" s="80"/>
      <c r="AA43" s="77"/>
    </row>
    <row r="44" spans="1:27" ht="33.75" x14ac:dyDescent="0.25">
      <c r="A44" s="71"/>
      <c r="B44" s="73" t="s">
        <v>39</v>
      </c>
      <c r="C44" s="74">
        <v>657</v>
      </c>
      <c r="D44" s="40">
        <v>1231</v>
      </c>
      <c r="E44" s="41" t="s">
        <v>60</v>
      </c>
      <c r="F44" s="43">
        <f>D44/1756</f>
        <v>0.70102505694760819</v>
      </c>
      <c r="G44" s="71"/>
      <c r="H44" s="78">
        <v>15825</v>
      </c>
      <c r="I44" s="78">
        <v>12184</v>
      </c>
      <c r="J44" s="78">
        <v>7183</v>
      </c>
      <c r="K44" s="78">
        <v>6516</v>
      </c>
      <c r="L44" s="78">
        <v>6599</v>
      </c>
      <c r="M44" s="78">
        <v>3877</v>
      </c>
      <c r="N44" s="78">
        <v>11264</v>
      </c>
      <c r="O44" s="78">
        <v>5435</v>
      </c>
      <c r="P44" s="78">
        <v>2987</v>
      </c>
      <c r="Q44" s="78">
        <v>12252</v>
      </c>
      <c r="R44" s="78">
        <v>30443</v>
      </c>
      <c r="S44" s="78">
        <v>5100</v>
      </c>
      <c r="T44" s="78">
        <v>2820</v>
      </c>
      <c r="U44" s="78">
        <v>324</v>
      </c>
      <c r="V44" s="77" t="s">
        <v>30</v>
      </c>
      <c r="W44" s="78">
        <v>13</v>
      </c>
      <c r="X44" s="78">
        <v>78</v>
      </c>
      <c r="Y44" s="78">
        <v>232</v>
      </c>
      <c r="Z44" s="78">
        <v>0</v>
      </c>
      <c r="AA44" s="78">
        <v>15</v>
      </c>
    </row>
    <row r="45" spans="1:27" ht="22.5" x14ac:dyDescent="0.25">
      <c r="A45" s="71"/>
      <c r="B45" s="73"/>
      <c r="C45" s="75"/>
      <c r="D45" s="40">
        <v>45</v>
      </c>
      <c r="E45" s="41" t="s">
        <v>5</v>
      </c>
      <c r="F45" s="43">
        <f>D45/1756</f>
        <v>2.562642369020501E-2</v>
      </c>
      <c r="G45" s="71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7"/>
      <c r="W45" s="79"/>
      <c r="X45" s="79"/>
      <c r="Y45" s="79"/>
      <c r="Z45" s="79"/>
      <c r="AA45" s="79"/>
    </row>
    <row r="46" spans="1:27" ht="11.25" x14ac:dyDescent="0.25">
      <c r="A46" s="71"/>
      <c r="B46" s="73"/>
      <c r="C46" s="75"/>
      <c r="D46" s="40">
        <v>127</v>
      </c>
      <c r="E46" s="41" t="s">
        <v>6</v>
      </c>
      <c r="F46" s="43">
        <f>D46/1756</f>
        <v>7.2323462414578585E-2</v>
      </c>
      <c r="G46" s="71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7"/>
      <c r="W46" s="79"/>
      <c r="X46" s="79"/>
      <c r="Y46" s="79"/>
      <c r="Z46" s="79"/>
      <c r="AA46" s="79"/>
    </row>
    <row r="47" spans="1:27" ht="11.25" x14ac:dyDescent="0.25">
      <c r="A47" s="72"/>
      <c r="B47" s="73"/>
      <c r="C47" s="76"/>
      <c r="D47" s="40">
        <v>353</v>
      </c>
      <c r="E47" s="41" t="s">
        <v>4</v>
      </c>
      <c r="F47" s="43">
        <f>D47/1756</f>
        <v>0.20102505694760819</v>
      </c>
      <c r="G47" s="72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77"/>
      <c r="W47" s="80"/>
      <c r="X47" s="80"/>
      <c r="Y47" s="80"/>
      <c r="Z47" s="80"/>
      <c r="AA47" s="80"/>
    </row>
    <row r="48" spans="1:27" ht="25.5" customHeight="1" x14ac:dyDescent="0.25">
      <c r="A48" s="73" t="s">
        <v>41</v>
      </c>
      <c r="B48" s="73"/>
      <c r="C48" s="73"/>
      <c r="D48" s="73"/>
      <c r="E48" s="73"/>
      <c r="F48" s="73"/>
      <c r="G48" s="73"/>
      <c r="H48" s="7">
        <f>SUM(H4:H47)</f>
        <v>128708</v>
      </c>
      <c r="I48" s="7">
        <f t="shared" ref="I48:AA48" si="0">SUM(I4:I47)</f>
        <v>115454</v>
      </c>
      <c r="J48" s="7">
        <f t="shared" si="0"/>
        <v>74656</v>
      </c>
      <c r="K48" s="7">
        <f t="shared" si="0"/>
        <v>56943</v>
      </c>
      <c r="L48" s="7">
        <f t="shared" si="0"/>
        <v>71359</v>
      </c>
      <c r="M48" s="7">
        <f t="shared" si="0"/>
        <v>39979</v>
      </c>
      <c r="N48" s="7">
        <f t="shared" si="0"/>
        <v>70352</v>
      </c>
      <c r="O48" s="7">
        <f t="shared" si="0"/>
        <v>37254</v>
      </c>
      <c r="P48" s="7">
        <f t="shared" si="0"/>
        <v>35172</v>
      </c>
      <c r="Q48" s="7">
        <f t="shared" si="0"/>
        <v>116872</v>
      </c>
      <c r="R48" s="7">
        <f t="shared" si="0"/>
        <v>255662</v>
      </c>
      <c r="S48" s="7">
        <f t="shared" si="0"/>
        <v>35404</v>
      </c>
      <c r="T48" s="7">
        <f t="shared" si="0"/>
        <v>22614</v>
      </c>
      <c r="U48" s="7">
        <f t="shared" si="0"/>
        <v>2774</v>
      </c>
      <c r="V48" s="7">
        <f t="shared" si="0"/>
        <v>0</v>
      </c>
      <c r="W48" s="7">
        <f t="shared" si="0"/>
        <v>547</v>
      </c>
      <c r="X48" s="7">
        <f t="shared" si="0"/>
        <v>647</v>
      </c>
      <c r="Y48" s="7">
        <f t="shared" si="0"/>
        <v>2050</v>
      </c>
      <c r="Z48" s="7">
        <f t="shared" si="0"/>
        <v>290</v>
      </c>
      <c r="AA48" s="7">
        <f t="shared" si="0"/>
        <v>401</v>
      </c>
    </row>
    <row r="49" spans="1:27" ht="27" customHeight="1" x14ac:dyDescent="0.15">
      <c r="A49" s="73" t="s">
        <v>42</v>
      </c>
      <c r="B49" s="73"/>
      <c r="C49" s="73"/>
      <c r="D49" s="73"/>
      <c r="E49" s="73"/>
      <c r="F49" s="73"/>
      <c r="G49" s="73"/>
      <c r="H49" s="8">
        <v>6.4500000000000002E-2</v>
      </c>
      <c r="I49" s="8">
        <v>5.8500000000000003E-2</v>
      </c>
      <c r="J49" s="9">
        <v>0.10717999</v>
      </c>
      <c r="K49" s="10">
        <v>6.6000000000000003E-2</v>
      </c>
      <c r="L49" s="10">
        <v>4.8000000000000001E-2</v>
      </c>
      <c r="M49" s="11">
        <v>0.03</v>
      </c>
      <c r="N49" s="12">
        <v>0.09</v>
      </c>
      <c r="O49" s="12">
        <v>0.23499999999999999</v>
      </c>
      <c r="P49" s="13">
        <v>0.1034559</v>
      </c>
      <c r="Q49" s="8">
        <v>0.1205</v>
      </c>
      <c r="R49" s="10">
        <v>9.7000000000000003E-2</v>
      </c>
      <c r="S49" s="14">
        <v>8.9969999999999994E-2</v>
      </c>
      <c r="T49" s="12">
        <v>0.22</v>
      </c>
      <c r="U49" s="12">
        <v>0.12</v>
      </c>
      <c r="V49" s="15">
        <v>0</v>
      </c>
      <c r="W49" s="12">
        <v>3.27</v>
      </c>
      <c r="X49" s="12">
        <v>4.8600000000000003</v>
      </c>
      <c r="Y49" s="12">
        <v>11.52</v>
      </c>
      <c r="Z49" s="12">
        <v>2.21</v>
      </c>
      <c r="AA49" s="12">
        <v>0.52</v>
      </c>
    </row>
    <row r="50" spans="1:27" ht="24" customHeight="1" x14ac:dyDescent="0.25">
      <c r="A50" s="73" t="s">
        <v>43</v>
      </c>
      <c r="B50" s="73"/>
      <c r="C50" s="73"/>
      <c r="D50" s="73"/>
      <c r="E50" s="73"/>
      <c r="F50" s="73"/>
      <c r="G50" s="73"/>
      <c r="H50" s="16">
        <f>H48*H49</f>
        <v>8301.6660000000011</v>
      </c>
      <c r="I50" s="16">
        <f t="shared" ref="I50:V50" si="1">I48*I49</f>
        <v>6754.0590000000002</v>
      </c>
      <c r="J50" s="16">
        <f t="shared" si="1"/>
        <v>8001.6293334399998</v>
      </c>
      <c r="K50" s="16">
        <f t="shared" si="1"/>
        <v>3758.2380000000003</v>
      </c>
      <c r="L50" s="16">
        <f t="shared" si="1"/>
        <v>3425.232</v>
      </c>
      <c r="M50" s="16">
        <f t="shared" si="1"/>
        <v>1199.3699999999999</v>
      </c>
      <c r="N50" s="16">
        <f t="shared" ref="N50" si="2">N48*N49</f>
        <v>6331.6799999999994</v>
      </c>
      <c r="O50" s="16">
        <f t="shared" ref="O50" si="3">O48*O49</f>
        <v>8754.6899999999987</v>
      </c>
      <c r="P50" s="16">
        <f t="shared" si="1"/>
        <v>3638.7509147999999</v>
      </c>
      <c r="Q50" s="16">
        <f t="shared" si="1"/>
        <v>14083.075999999999</v>
      </c>
      <c r="R50" s="16">
        <f t="shared" si="1"/>
        <v>24799.214</v>
      </c>
      <c r="S50" s="16">
        <f t="shared" si="1"/>
        <v>3185.2978799999996</v>
      </c>
      <c r="T50" s="16">
        <f t="shared" si="1"/>
        <v>4975.08</v>
      </c>
      <c r="U50" s="16">
        <f t="shared" si="1"/>
        <v>332.88</v>
      </c>
      <c r="V50" s="16">
        <f t="shared" si="1"/>
        <v>0</v>
      </c>
      <c r="W50" s="16">
        <f>W48*W49</f>
        <v>1788.69</v>
      </c>
      <c r="X50" s="16">
        <f t="shared" ref="X50:AA50" si="4">X48*X49</f>
        <v>3144.42</v>
      </c>
      <c r="Y50" s="16">
        <f t="shared" si="4"/>
        <v>23616</v>
      </c>
      <c r="Z50" s="16">
        <f t="shared" si="4"/>
        <v>640.9</v>
      </c>
      <c r="AA50" s="16">
        <f t="shared" si="4"/>
        <v>208.52</v>
      </c>
    </row>
    <row r="51" spans="1:27" ht="20.25" customHeight="1" x14ac:dyDescent="0.25">
      <c r="A51" s="73" t="s">
        <v>44</v>
      </c>
      <c r="B51" s="73"/>
      <c r="C51" s="73"/>
      <c r="D51" s="73"/>
      <c r="E51" s="73"/>
      <c r="F51" s="73"/>
      <c r="G51" s="73"/>
      <c r="H51" s="90">
        <f>H50+I50+J50+K50+L50+M50+N50+O50+P50+Q50+R50+S50+T50+U50+V50+W50+X50+Y50+Z50+AA50</f>
        <v>126939.39312824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 spans="1:27" ht="22.5" customHeight="1" x14ac:dyDescent="0.25">
      <c r="A52" s="73" t="s">
        <v>45</v>
      </c>
      <c r="B52" s="73"/>
      <c r="C52" s="73"/>
      <c r="D52" s="73"/>
      <c r="E52" s="73"/>
      <c r="F52" s="73"/>
      <c r="G52" s="73"/>
      <c r="H52" s="93" t="s">
        <v>3</v>
      </c>
      <c r="I52" s="73"/>
      <c r="J52" s="73"/>
      <c r="K52" s="73"/>
      <c r="L52" s="73"/>
      <c r="M52" s="73"/>
      <c r="N52" s="73"/>
      <c r="O52" s="73"/>
      <c r="P52" s="73"/>
      <c r="Q52" s="73"/>
      <c r="R52" s="73" t="s">
        <v>4</v>
      </c>
      <c r="S52" s="73"/>
      <c r="T52" s="73"/>
      <c r="U52" s="73" t="s">
        <v>5</v>
      </c>
      <c r="V52" s="73"/>
      <c r="W52" s="73" t="s">
        <v>6</v>
      </c>
      <c r="X52" s="73"/>
      <c r="Y52" s="73"/>
      <c r="Z52" s="73"/>
      <c r="AA52" s="73"/>
    </row>
    <row r="53" spans="1:27" ht="29.25" customHeight="1" x14ac:dyDescent="0.25">
      <c r="A53" s="73"/>
      <c r="B53" s="73"/>
      <c r="C53" s="73"/>
      <c r="D53" s="73"/>
      <c r="E53" s="73"/>
      <c r="F53" s="73"/>
      <c r="G53" s="73"/>
      <c r="H53" s="91">
        <f>H50+I50+J50+K50+L50+M50+N50+O50+P50+Q50</f>
        <v>64248.391248239997</v>
      </c>
      <c r="I53" s="91"/>
      <c r="J53" s="91"/>
      <c r="K53" s="91"/>
      <c r="L53" s="91"/>
      <c r="M53" s="91"/>
      <c r="N53" s="91"/>
      <c r="O53" s="91"/>
      <c r="P53" s="91"/>
      <c r="Q53" s="91"/>
      <c r="R53" s="94">
        <f>R50+S50+T50</f>
        <v>32959.59188</v>
      </c>
      <c r="S53" s="95"/>
      <c r="T53" s="96"/>
      <c r="U53" s="91">
        <f>U50+V50</f>
        <v>332.88</v>
      </c>
      <c r="V53" s="91"/>
      <c r="W53" s="90">
        <f>W50+X50+Y50+Z50+AA50</f>
        <v>29398.530000000002</v>
      </c>
      <c r="X53" s="90"/>
      <c r="Y53" s="90"/>
      <c r="Z53" s="90"/>
      <c r="AA53" s="90"/>
    </row>
    <row r="54" spans="1:27" ht="34.5" customHeight="1" x14ac:dyDescent="0.25">
      <c r="A54" s="73" t="s">
        <v>46</v>
      </c>
      <c r="B54" s="73"/>
      <c r="C54" s="73"/>
      <c r="D54" s="73"/>
      <c r="E54" s="73"/>
      <c r="F54" s="73"/>
      <c r="G54" s="73"/>
      <c r="H54" s="91">
        <v>2184600</v>
      </c>
      <c r="I54" s="91"/>
      <c r="J54" s="91"/>
      <c r="K54" s="91"/>
      <c r="L54" s="91"/>
      <c r="M54" s="91"/>
      <c r="N54" s="91"/>
      <c r="O54" s="91"/>
      <c r="P54" s="91"/>
      <c r="Q54" s="91"/>
      <c r="R54" s="92">
        <v>130000</v>
      </c>
      <c r="S54" s="92"/>
      <c r="T54" s="92"/>
      <c r="U54" s="91">
        <v>50000</v>
      </c>
      <c r="V54" s="91"/>
      <c r="W54" s="91">
        <v>545400</v>
      </c>
      <c r="X54" s="91"/>
      <c r="Y54" s="91"/>
      <c r="Z54" s="91"/>
      <c r="AA54" s="91"/>
    </row>
    <row r="59" spans="1:27" ht="22.5" customHeight="1" x14ac:dyDescent="0.25">
      <c r="B59" s="88" t="s">
        <v>47</v>
      </c>
      <c r="C59" s="88"/>
      <c r="S59" s="27">
        <f>H51+'აგვისტო 2017'!H51:AC51</f>
        <v>126939.39312824</v>
      </c>
    </row>
    <row r="60" spans="1:27" x14ac:dyDescent="0.25">
      <c r="A60" s="1">
        <v>1</v>
      </c>
      <c r="B60" s="89" t="s">
        <v>48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</row>
    <row r="61" spans="1:27" ht="30.75" customHeight="1" x14ac:dyDescent="0.25">
      <c r="A61" s="1">
        <v>2</v>
      </c>
      <c r="B61" s="89" t="s">
        <v>49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1:27" x14ac:dyDescent="0.25">
      <c r="B62" s="89"/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</sheetData>
  <mergeCells count="277">
    <mergeCell ref="E1:E3"/>
    <mergeCell ref="F1:F3"/>
    <mergeCell ref="B1:D2"/>
    <mergeCell ref="Q36:Q39"/>
    <mergeCell ref="B59:C59"/>
    <mergeCell ref="B60:P60"/>
    <mergeCell ref="B61:M61"/>
    <mergeCell ref="B62:M62"/>
    <mergeCell ref="W53:AA53"/>
    <mergeCell ref="A54:G54"/>
    <mergeCell ref="H54:Q54"/>
    <mergeCell ref="R54:T54"/>
    <mergeCell ref="U54:V54"/>
    <mergeCell ref="W54:AA54"/>
    <mergeCell ref="A51:G51"/>
    <mergeCell ref="H51:AA51"/>
    <mergeCell ref="A52:G53"/>
    <mergeCell ref="H52:Q52"/>
    <mergeCell ref="R52:T52"/>
    <mergeCell ref="U52:V52"/>
    <mergeCell ref="W52:AA52"/>
    <mergeCell ref="H53:Q53"/>
    <mergeCell ref="R53:T53"/>
    <mergeCell ref="U53:V53"/>
    <mergeCell ref="Y44:Y47"/>
    <mergeCell ref="Z44:Z47"/>
    <mergeCell ref="AA44:AA47"/>
    <mergeCell ref="A48:G48"/>
    <mergeCell ref="A49:G49"/>
    <mergeCell ref="A50:G50"/>
    <mergeCell ref="S44:S47"/>
    <mergeCell ref="T44:T47"/>
    <mergeCell ref="U44:U47"/>
    <mergeCell ref="V44:V47"/>
    <mergeCell ref="W44:W47"/>
    <mergeCell ref="X44:X47"/>
    <mergeCell ref="M44:M47"/>
    <mergeCell ref="N44:N47"/>
    <mergeCell ref="O44:O47"/>
    <mergeCell ref="P44:P47"/>
    <mergeCell ref="Q44:Q47"/>
    <mergeCell ref="R44:R47"/>
    <mergeCell ref="B44:B47"/>
    <mergeCell ref="C44:C47"/>
    <mergeCell ref="H44:H47"/>
    <mergeCell ref="I44:I47"/>
    <mergeCell ref="J44:J47"/>
    <mergeCell ref="K44:K47"/>
    <mergeCell ref="L44:L47"/>
    <mergeCell ref="S40:S43"/>
    <mergeCell ref="T40:T43"/>
    <mergeCell ref="Z36:Z39"/>
    <mergeCell ref="AA36:AA39"/>
    <mergeCell ref="B40:B43"/>
    <mergeCell ref="C40:C43"/>
    <mergeCell ref="H40:H43"/>
    <mergeCell ref="I40:I43"/>
    <mergeCell ref="J40:J43"/>
    <mergeCell ref="K40:K43"/>
    <mergeCell ref="L40:L43"/>
    <mergeCell ref="S36:S39"/>
    <mergeCell ref="T36:T39"/>
    <mergeCell ref="U36:U39"/>
    <mergeCell ref="V36:V39"/>
    <mergeCell ref="W36:W39"/>
    <mergeCell ref="X36:X39"/>
    <mergeCell ref="L36:L39"/>
    <mergeCell ref="M36:M39"/>
    <mergeCell ref="N36:N39"/>
    <mergeCell ref="O36:O39"/>
    <mergeCell ref="P36:P39"/>
    <mergeCell ref="R36:R39"/>
    <mergeCell ref="Y40:Y43"/>
    <mergeCell ref="Z40:Z43"/>
    <mergeCell ref="AA40:AA43"/>
    <mergeCell ref="V32:V35"/>
    <mergeCell ref="W32:W35"/>
    <mergeCell ref="L32:L35"/>
    <mergeCell ref="M32:M35"/>
    <mergeCell ref="N32:N35"/>
    <mergeCell ref="O32:O35"/>
    <mergeCell ref="P32:P35"/>
    <mergeCell ref="Q32:Q35"/>
    <mergeCell ref="Y36:Y39"/>
    <mergeCell ref="U40:U43"/>
    <mergeCell ref="V40:V43"/>
    <mergeCell ref="W40:W43"/>
    <mergeCell ref="X40:X43"/>
    <mergeCell ref="M40:M43"/>
    <mergeCell ref="N40:N43"/>
    <mergeCell ref="O40:O43"/>
    <mergeCell ref="P40:P43"/>
    <mergeCell ref="Q40:Q43"/>
    <mergeCell ref="R40:R43"/>
    <mergeCell ref="B36:B39"/>
    <mergeCell ref="C36:C39"/>
    <mergeCell ref="H36:H39"/>
    <mergeCell ref="I36:I39"/>
    <mergeCell ref="J36:J39"/>
    <mergeCell ref="K36:K39"/>
    <mergeCell ref="R32:R35"/>
    <mergeCell ref="S32:S35"/>
    <mergeCell ref="T32:T35"/>
    <mergeCell ref="AA28:AA31"/>
    <mergeCell ref="B32:B35"/>
    <mergeCell ref="C32:C35"/>
    <mergeCell ref="H32:H35"/>
    <mergeCell ref="I32:I35"/>
    <mergeCell ref="J32:J35"/>
    <mergeCell ref="K32:K35"/>
    <mergeCell ref="R28:R31"/>
    <mergeCell ref="S28:S31"/>
    <mergeCell ref="T28:T31"/>
    <mergeCell ref="U28:U31"/>
    <mergeCell ref="V28:V31"/>
    <mergeCell ref="W28:W31"/>
    <mergeCell ref="L28:L31"/>
    <mergeCell ref="M28:M31"/>
    <mergeCell ref="N28:N31"/>
    <mergeCell ref="O28:O31"/>
    <mergeCell ref="P28:P31"/>
    <mergeCell ref="Q28:Q31"/>
    <mergeCell ref="X32:X35"/>
    <mergeCell ref="Y32:Y35"/>
    <mergeCell ref="Z32:Z35"/>
    <mergeCell ref="AA32:AA35"/>
    <mergeCell ref="U32:U35"/>
    <mergeCell ref="Y24:Y27"/>
    <mergeCell ref="Z24:Z27"/>
    <mergeCell ref="AA24:AA27"/>
    <mergeCell ref="B28:B31"/>
    <mergeCell ref="C28:C31"/>
    <mergeCell ref="H28:H31"/>
    <mergeCell ref="I28:I31"/>
    <mergeCell ref="J28:J31"/>
    <mergeCell ref="K28:K31"/>
    <mergeCell ref="R24:R27"/>
    <mergeCell ref="S24:S27"/>
    <mergeCell ref="T24:T27"/>
    <mergeCell ref="U24:U27"/>
    <mergeCell ref="V24:V27"/>
    <mergeCell ref="W24:W27"/>
    <mergeCell ref="L24:L27"/>
    <mergeCell ref="M24:M27"/>
    <mergeCell ref="N24:N27"/>
    <mergeCell ref="O24:O27"/>
    <mergeCell ref="P24:P27"/>
    <mergeCell ref="Q24:Q27"/>
    <mergeCell ref="X28:X31"/>
    <mergeCell ref="Y28:Y31"/>
    <mergeCell ref="Z28:Z31"/>
    <mergeCell ref="V20:V23"/>
    <mergeCell ref="W20:W23"/>
    <mergeCell ref="L20:L23"/>
    <mergeCell ref="M20:M23"/>
    <mergeCell ref="N20:N23"/>
    <mergeCell ref="O20:O23"/>
    <mergeCell ref="P20:P23"/>
    <mergeCell ref="Q20:Q23"/>
    <mergeCell ref="X24:X27"/>
    <mergeCell ref="B24:B27"/>
    <mergeCell ref="C24:C27"/>
    <mergeCell ref="H24:H27"/>
    <mergeCell ref="I24:I27"/>
    <mergeCell ref="J24:J27"/>
    <mergeCell ref="K24:K27"/>
    <mergeCell ref="R20:R23"/>
    <mergeCell ref="S20:S23"/>
    <mergeCell ref="T20:T23"/>
    <mergeCell ref="AA16:AA19"/>
    <mergeCell ref="B20:B23"/>
    <mergeCell ref="C20:C23"/>
    <mergeCell ref="H20:H23"/>
    <mergeCell ref="I20:I23"/>
    <mergeCell ref="J20:J23"/>
    <mergeCell ref="K20:K23"/>
    <mergeCell ref="R16:R19"/>
    <mergeCell ref="S16:S19"/>
    <mergeCell ref="T16:T19"/>
    <mergeCell ref="U16:U19"/>
    <mergeCell ref="V16:V19"/>
    <mergeCell ref="W16:W19"/>
    <mergeCell ref="L16:L19"/>
    <mergeCell ref="M16:M19"/>
    <mergeCell ref="N16:N19"/>
    <mergeCell ref="O16:O19"/>
    <mergeCell ref="P16:P19"/>
    <mergeCell ref="Q16:Q19"/>
    <mergeCell ref="X20:X23"/>
    <mergeCell ref="Y20:Y23"/>
    <mergeCell ref="Z20:Z23"/>
    <mergeCell ref="AA20:AA23"/>
    <mergeCell ref="U20:U23"/>
    <mergeCell ref="AA12:AA15"/>
    <mergeCell ref="B16:B19"/>
    <mergeCell ref="C16:C19"/>
    <mergeCell ref="H16:H19"/>
    <mergeCell ref="I16:I19"/>
    <mergeCell ref="J16:J19"/>
    <mergeCell ref="K16:K19"/>
    <mergeCell ref="R12:R15"/>
    <mergeCell ref="S12:S15"/>
    <mergeCell ref="T12:T15"/>
    <mergeCell ref="U12:U15"/>
    <mergeCell ref="V12:V15"/>
    <mergeCell ref="W12:W15"/>
    <mergeCell ref="L12:L15"/>
    <mergeCell ref="M12:M15"/>
    <mergeCell ref="N12:N15"/>
    <mergeCell ref="O12:O15"/>
    <mergeCell ref="P12:P15"/>
    <mergeCell ref="Q12:Q15"/>
    <mergeCell ref="B12:B15"/>
    <mergeCell ref="C12:C15"/>
    <mergeCell ref="X16:X19"/>
    <mergeCell ref="Y16:Y19"/>
    <mergeCell ref="Z16:Z19"/>
    <mergeCell ref="H12:H15"/>
    <mergeCell ref="I12:I15"/>
    <mergeCell ref="J12:J15"/>
    <mergeCell ref="K12:K15"/>
    <mergeCell ref="V8:V11"/>
    <mergeCell ref="W8:W11"/>
    <mergeCell ref="X8:X11"/>
    <mergeCell ref="Y8:Y11"/>
    <mergeCell ref="Z8:Z11"/>
    <mergeCell ref="X12:X15"/>
    <mergeCell ref="Y12:Y15"/>
    <mergeCell ref="Z12:Z15"/>
    <mergeCell ref="AA8:AA11"/>
    <mergeCell ref="P8:P11"/>
    <mergeCell ref="Q8:Q11"/>
    <mergeCell ref="R8:R11"/>
    <mergeCell ref="S8:S11"/>
    <mergeCell ref="T8:T11"/>
    <mergeCell ref="U8:U11"/>
    <mergeCell ref="J8:J11"/>
    <mergeCell ref="K8:K11"/>
    <mergeCell ref="L8:L11"/>
    <mergeCell ref="M8:M11"/>
    <mergeCell ref="N8:N11"/>
    <mergeCell ref="O8:O11"/>
    <mergeCell ref="W4:W7"/>
    <mergeCell ref="X4:X7"/>
    <mergeCell ref="Y4:Y7"/>
    <mergeCell ref="Z4:Z7"/>
    <mergeCell ref="AA4:AA7"/>
    <mergeCell ref="P4:P7"/>
    <mergeCell ref="Q4:Q7"/>
    <mergeCell ref="R4:R7"/>
    <mergeCell ref="S4:S7"/>
    <mergeCell ref="T4:T7"/>
    <mergeCell ref="U4:U7"/>
    <mergeCell ref="A1:A3"/>
    <mergeCell ref="G1:G3"/>
    <mergeCell ref="H1:AA1"/>
    <mergeCell ref="H2:Q2"/>
    <mergeCell ref="R2:T2"/>
    <mergeCell ref="U2:V2"/>
    <mergeCell ref="W2:AA2"/>
    <mergeCell ref="J4:J7"/>
    <mergeCell ref="K4:K7"/>
    <mergeCell ref="L4:L7"/>
    <mergeCell ref="M4:M7"/>
    <mergeCell ref="N4:N7"/>
    <mergeCell ref="O4:O7"/>
    <mergeCell ref="A4:A47"/>
    <mergeCell ref="B4:B7"/>
    <mergeCell ref="C4:C7"/>
    <mergeCell ref="G4:G47"/>
    <mergeCell ref="H4:H7"/>
    <mergeCell ref="I4:I7"/>
    <mergeCell ref="B8:B11"/>
    <mergeCell ref="C8:C11"/>
    <mergeCell ref="H8:H11"/>
    <mergeCell ref="I8:I11"/>
    <mergeCell ref="V4:V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AC62"/>
  <sheetViews>
    <sheetView topLeftCell="A13" workbookViewId="0">
      <selection activeCell="A4" sqref="A4:A47"/>
    </sheetView>
  </sheetViews>
  <sheetFormatPr defaultColWidth="8" defaultRowHeight="9" x14ac:dyDescent="0.25"/>
  <cols>
    <col min="1" max="1" width="5.7109375" style="1" customWidth="1"/>
    <col min="2" max="3" width="8" style="1"/>
    <col min="4" max="6" width="8" style="28"/>
    <col min="7" max="7" width="5.85546875" style="1" customWidth="1"/>
    <col min="8" max="26" width="8" style="1"/>
    <col min="27" max="28" width="6.7109375" style="1" customWidth="1"/>
    <col min="29" max="29" width="6.28515625" style="1" customWidth="1"/>
    <col min="30" max="16384" width="8" style="1"/>
  </cols>
  <sheetData>
    <row r="1" spans="1:29" ht="45.75" customHeight="1" x14ac:dyDescent="0.25">
      <c r="A1" s="52" t="s">
        <v>0</v>
      </c>
      <c r="B1" s="84" t="s">
        <v>1</v>
      </c>
      <c r="C1" s="85"/>
      <c r="D1" s="86"/>
      <c r="E1" s="81" t="s">
        <v>58</v>
      </c>
      <c r="F1" s="53" t="s">
        <v>57</v>
      </c>
      <c r="G1" s="53" t="s">
        <v>2</v>
      </c>
      <c r="H1" s="56" t="s">
        <v>51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</row>
    <row r="2" spans="1:29" ht="45.75" customHeight="1" x14ac:dyDescent="0.25">
      <c r="A2" s="52"/>
      <c r="B2" s="103"/>
      <c r="C2" s="104"/>
      <c r="D2" s="105"/>
      <c r="E2" s="82"/>
      <c r="F2" s="54"/>
      <c r="G2" s="54"/>
      <c r="H2" s="100" t="s">
        <v>3</v>
      </c>
      <c r="I2" s="101"/>
      <c r="J2" s="101"/>
      <c r="K2" s="101"/>
      <c r="L2" s="101"/>
      <c r="M2" s="101"/>
      <c r="N2" s="101"/>
      <c r="O2" s="101"/>
      <c r="P2" s="101"/>
      <c r="Q2" s="101"/>
      <c r="R2" s="102"/>
      <c r="S2" s="59" t="s">
        <v>4</v>
      </c>
      <c r="T2" s="60"/>
      <c r="U2" s="60"/>
      <c r="V2" s="61" t="s">
        <v>5</v>
      </c>
      <c r="W2" s="62"/>
      <c r="X2" s="63" t="s">
        <v>6</v>
      </c>
      <c r="Y2" s="64"/>
      <c r="Z2" s="64"/>
      <c r="AA2" s="64"/>
      <c r="AB2" s="64"/>
      <c r="AC2" s="65"/>
    </row>
    <row r="3" spans="1:29" ht="152.25" customHeight="1" x14ac:dyDescent="0.25">
      <c r="A3" s="52"/>
      <c r="B3" s="2" t="s">
        <v>7</v>
      </c>
      <c r="C3" s="2" t="s">
        <v>8</v>
      </c>
      <c r="D3" s="32" t="s">
        <v>59</v>
      </c>
      <c r="E3" s="83"/>
      <c r="F3" s="55"/>
      <c r="G3" s="55"/>
      <c r="H3" s="3" t="s">
        <v>9</v>
      </c>
      <c r="I3" s="3" t="s">
        <v>10</v>
      </c>
      <c r="J3" s="3" t="s">
        <v>11</v>
      </c>
      <c r="K3" s="3" t="s">
        <v>12</v>
      </c>
      <c r="L3" s="3" t="s">
        <v>13</v>
      </c>
      <c r="M3" s="3" t="s">
        <v>14</v>
      </c>
      <c r="N3" s="3" t="s">
        <v>15</v>
      </c>
      <c r="O3" s="3" t="s">
        <v>16</v>
      </c>
      <c r="P3" s="3" t="s">
        <v>17</v>
      </c>
      <c r="Q3" s="3" t="s">
        <v>18</v>
      </c>
      <c r="R3" s="3" t="s">
        <v>53</v>
      </c>
      <c r="S3" s="4" t="s">
        <v>19</v>
      </c>
      <c r="T3" s="4" t="s">
        <v>20</v>
      </c>
      <c r="U3" s="4" t="s">
        <v>21</v>
      </c>
      <c r="V3" s="5" t="s">
        <v>22</v>
      </c>
      <c r="W3" s="5" t="s">
        <v>23</v>
      </c>
      <c r="X3" s="6" t="s">
        <v>24</v>
      </c>
      <c r="Y3" s="6" t="s">
        <v>25</v>
      </c>
      <c r="Z3" s="6" t="s">
        <v>26</v>
      </c>
      <c r="AA3" s="6" t="s">
        <v>27</v>
      </c>
      <c r="AB3" s="6" t="s">
        <v>52</v>
      </c>
      <c r="AC3" s="6" t="s">
        <v>28</v>
      </c>
    </row>
    <row r="4" spans="1:29" s="17" customFormat="1" ht="22.5" customHeight="1" x14ac:dyDescent="0.25">
      <c r="A4" s="70">
        <v>2395</v>
      </c>
      <c r="B4" s="73" t="s">
        <v>34</v>
      </c>
      <c r="C4" s="78">
        <v>105</v>
      </c>
      <c r="D4" s="40">
        <v>192</v>
      </c>
      <c r="E4" s="41" t="s">
        <v>60</v>
      </c>
      <c r="F4" s="42">
        <f>D4/299</f>
        <v>0.64214046822742477</v>
      </c>
      <c r="G4" s="70">
        <v>3038</v>
      </c>
      <c r="H4" s="66">
        <v>2386</v>
      </c>
      <c r="I4" s="66">
        <v>2116</v>
      </c>
      <c r="J4" s="66">
        <v>1518</v>
      </c>
      <c r="K4" s="66">
        <v>782</v>
      </c>
      <c r="L4" s="66">
        <v>1171</v>
      </c>
      <c r="M4" s="66">
        <v>542</v>
      </c>
      <c r="N4" s="66">
        <v>3171</v>
      </c>
      <c r="O4" s="67">
        <v>2942</v>
      </c>
      <c r="P4" s="66">
        <v>873</v>
      </c>
      <c r="Q4" s="66">
        <v>1242</v>
      </c>
      <c r="R4" s="67">
        <v>0</v>
      </c>
      <c r="S4" s="67">
        <v>5424</v>
      </c>
      <c r="T4" s="66">
        <v>180</v>
      </c>
      <c r="U4" s="67">
        <v>1038</v>
      </c>
      <c r="V4" s="66">
        <v>90</v>
      </c>
      <c r="W4" s="66">
        <v>782</v>
      </c>
      <c r="X4" s="66">
        <v>26</v>
      </c>
      <c r="Y4" s="66">
        <v>26</v>
      </c>
      <c r="Z4" s="66">
        <v>36</v>
      </c>
      <c r="AA4" s="67">
        <v>0</v>
      </c>
      <c r="AB4" s="67">
        <v>3</v>
      </c>
      <c r="AC4" s="66">
        <v>42</v>
      </c>
    </row>
    <row r="5" spans="1:29" s="17" customFormat="1" ht="22.5" x14ac:dyDescent="0.25">
      <c r="A5" s="71"/>
      <c r="B5" s="73"/>
      <c r="C5" s="79"/>
      <c r="D5" s="40">
        <v>9</v>
      </c>
      <c r="E5" s="41" t="s">
        <v>5</v>
      </c>
      <c r="F5" s="42">
        <f>D5/299</f>
        <v>3.0100334448160536E-2</v>
      </c>
      <c r="G5" s="71"/>
      <c r="H5" s="66"/>
      <c r="I5" s="66"/>
      <c r="J5" s="66"/>
      <c r="K5" s="66"/>
      <c r="L5" s="66"/>
      <c r="M5" s="66"/>
      <c r="N5" s="66"/>
      <c r="O5" s="68"/>
      <c r="P5" s="66"/>
      <c r="Q5" s="66"/>
      <c r="R5" s="68"/>
      <c r="S5" s="68"/>
      <c r="T5" s="66"/>
      <c r="U5" s="68"/>
      <c r="V5" s="66"/>
      <c r="W5" s="66"/>
      <c r="X5" s="66"/>
      <c r="Y5" s="66"/>
      <c r="Z5" s="66"/>
      <c r="AA5" s="68"/>
      <c r="AB5" s="68"/>
      <c r="AC5" s="66"/>
    </row>
    <row r="6" spans="1:29" s="17" customFormat="1" ht="11.25" x14ac:dyDescent="0.25">
      <c r="A6" s="71"/>
      <c r="B6" s="73"/>
      <c r="C6" s="79"/>
      <c r="D6" s="40">
        <v>26</v>
      </c>
      <c r="E6" s="41" t="s">
        <v>6</v>
      </c>
      <c r="F6" s="42">
        <f>D6/299</f>
        <v>8.6956521739130432E-2</v>
      </c>
      <c r="G6" s="71"/>
      <c r="H6" s="66"/>
      <c r="I6" s="66"/>
      <c r="J6" s="66"/>
      <c r="K6" s="66"/>
      <c r="L6" s="66"/>
      <c r="M6" s="66"/>
      <c r="N6" s="66"/>
      <c r="O6" s="68"/>
      <c r="P6" s="66"/>
      <c r="Q6" s="66"/>
      <c r="R6" s="68"/>
      <c r="S6" s="68"/>
      <c r="T6" s="66"/>
      <c r="U6" s="68"/>
      <c r="V6" s="66"/>
      <c r="W6" s="66"/>
      <c r="X6" s="66"/>
      <c r="Y6" s="66"/>
      <c r="Z6" s="66"/>
      <c r="AA6" s="68"/>
      <c r="AB6" s="68"/>
      <c r="AC6" s="66"/>
    </row>
    <row r="7" spans="1:29" s="17" customFormat="1" ht="22.5" x14ac:dyDescent="0.25">
      <c r="A7" s="71"/>
      <c r="B7" s="73"/>
      <c r="C7" s="80"/>
      <c r="D7" s="40">
        <v>72</v>
      </c>
      <c r="E7" s="41" t="s">
        <v>4</v>
      </c>
      <c r="F7" s="42">
        <f>D7/299</f>
        <v>0.24080267558528429</v>
      </c>
      <c r="G7" s="71"/>
      <c r="H7" s="66"/>
      <c r="I7" s="66"/>
      <c r="J7" s="66"/>
      <c r="K7" s="66"/>
      <c r="L7" s="66"/>
      <c r="M7" s="66"/>
      <c r="N7" s="66"/>
      <c r="O7" s="69"/>
      <c r="P7" s="66"/>
      <c r="Q7" s="66"/>
      <c r="R7" s="69"/>
      <c r="S7" s="69"/>
      <c r="T7" s="66"/>
      <c r="U7" s="69"/>
      <c r="V7" s="66"/>
      <c r="W7" s="66"/>
      <c r="X7" s="66"/>
      <c r="Y7" s="66"/>
      <c r="Z7" s="66"/>
      <c r="AA7" s="69"/>
      <c r="AB7" s="69"/>
      <c r="AC7" s="66"/>
    </row>
    <row r="8" spans="1:29" s="17" customFormat="1" ht="15" customHeight="1" x14ac:dyDescent="0.25">
      <c r="A8" s="71"/>
      <c r="B8" s="73" t="s">
        <v>61</v>
      </c>
      <c r="C8" s="78">
        <v>73</v>
      </c>
      <c r="D8" s="40">
        <v>98</v>
      </c>
      <c r="E8" s="41" t="s">
        <v>60</v>
      </c>
      <c r="F8" s="43">
        <f>D8/166</f>
        <v>0.59036144578313254</v>
      </c>
      <c r="G8" s="71"/>
      <c r="H8" s="77">
        <v>1286</v>
      </c>
      <c r="I8" s="77">
        <v>1782</v>
      </c>
      <c r="J8" s="77">
        <v>1698</v>
      </c>
      <c r="K8" s="77">
        <v>782</v>
      </c>
      <c r="L8" s="77">
        <v>1008</v>
      </c>
      <c r="M8" s="77">
        <v>842</v>
      </c>
      <c r="N8" s="77">
        <v>1098</v>
      </c>
      <c r="O8" s="77">
        <v>2068</v>
      </c>
      <c r="P8" s="77">
        <v>826</v>
      </c>
      <c r="Q8" s="78">
        <v>1612</v>
      </c>
      <c r="R8" s="78">
        <v>0</v>
      </c>
      <c r="S8" s="78">
        <v>3244</v>
      </c>
      <c r="T8" s="77">
        <v>0</v>
      </c>
      <c r="U8" s="78">
        <v>1018</v>
      </c>
      <c r="V8" s="77">
        <v>0</v>
      </c>
      <c r="W8" s="77">
        <v>552</v>
      </c>
      <c r="X8" s="77">
        <v>60</v>
      </c>
      <c r="Y8" s="77">
        <v>11</v>
      </c>
      <c r="Z8" s="77">
        <v>21</v>
      </c>
      <c r="AA8" s="78">
        <v>0</v>
      </c>
      <c r="AB8" s="97">
        <v>0</v>
      </c>
      <c r="AC8" s="77">
        <v>0</v>
      </c>
    </row>
    <row r="9" spans="1:29" s="17" customFormat="1" ht="22.5" x14ac:dyDescent="0.25">
      <c r="A9" s="71"/>
      <c r="B9" s="73"/>
      <c r="C9" s="79"/>
      <c r="D9" s="40">
        <v>4</v>
      </c>
      <c r="E9" s="41" t="s">
        <v>5</v>
      </c>
      <c r="F9" s="43">
        <f>D9/166</f>
        <v>2.4096385542168676E-2</v>
      </c>
      <c r="G9" s="71"/>
      <c r="H9" s="77"/>
      <c r="I9" s="77"/>
      <c r="J9" s="77"/>
      <c r="K9" s="77"/>
      <c r="L9" s="77"/>
      <c r="M9" s="77"/>
      <c r="N9" s="77"/>
      <c r="O9" s="77"/>
      <c r="P9" s="77"/>
      <c r="Q9" s="79"/>
      <c r="R9" s="79"/>
      <c r="S9" s="79"/>
      <c r="T9" s="77"/>
      <c r="U9" s="79"/>
      <c r="V9" s="77"/>
      <c r="W9" s="77"/>
      <c r="X9" s="77"/>
      <c r="Y9" s="77"/>
      <c r="Z9" s="77"/>
      <c r="AA9" s="79"/>
      <c r="AB9" s="98"/>
      <c r="AC9" s="77"/>
    </row>
    <row r="10" spans="1:29" s="17" customFormat="1" ht="11.25" x14ac:dyDescent="0.25">
      <c r="A10" s="71"/>
      <c r="B10" s="73"/>
      <c r="C10" s="79"/>
      <c r="D10" s="40">
        <v>18</v>
      </c>
      <c r="E10" s="41" t="s">
        <v>6</v>
      </c>
      <c r="F10" s="43">
        <f>D10/166</f>
        <v>0.10843373493975904</v>
      </c>
      <c r="G10" s="71"/>
      <c r="H10" s="77"/>
      <c r="I10" s="77"/>
      <c r="J10" s="77"/>
      <c r="K10" s="77"/>
      <c r="L10" s="77"/>
      <c r="M10" s="77"/>
      <c r="N10" s="77"/>
      <c r="O10" s="77"/>
      <c r="P10" s="77"/>
      <c r="Q10" s="79"/>
      <c r="R10" s="79"/>
      <c r="S10" s="79"/>
      <c r="T10" s="77"/>
      <c r="U10" s="79"/>
      <c r="V10" s="77"/>
      <c r="W10" s="77"/>
      <c r="X10" s="77"/>
      <c r="Y10" s="77"/>
      <c r="Z10" s="77"/>
      <c r="AA10" s="79"/>
      <c r="AB10" s="98"/>
      <c r="AC10" s="77"/>
    </row>
    <row r="11" spans="1:29" s="17" customFormat="1" ht="22.5" x14ac:dyDescent="0.25">
      <c r="A11" s="71"/>
      <c r="B11" s="73"/>
      <c r="C11" s="80"/>
      <c r="D11" s="40">
        <v>46</v>
      </c>
      <c r="E11" s="41" t="s">
        <v>4</v>
      </c>
      <c r="F11" s="43">
        <f>D11/166</f>
        <v>0.27710843373493976</v>
      </c>
      <c r="G11" s="71"/>
      <c r="H11" s="77"/>
      <c r="I11" s="77"/>
      <c r="J11" s="77"/>
      <c r="K11" s="77"/>
      <c r="L11" s="77"/>
      <c r="M11" s="77"/>
      <c r="N11" s="77"/>
      <c r="O11" s="77"/>
      <c r="P11" s="77"/>
      <c r="Q11" s="80"/>
      <c r="R11" s="80"/>
      <c r="S11" s="80"/>
      <c r="T11" s="77"/>
      <c r="U11" s="80"/>
      <c r="V11" s="77"/>
      <c r="W11" s="77"/>
      <c r="X11" s="77"/>
      <c r="Y11" s="77"/>
      <c r="Z11" s="77"/>
      <c r="AA11" s="80"/>
      <c r="AB11" s="99"/>
      <c r="AC11" s="77"/>
    </row>
    <row r="12" spans="1:29" s="17" customFormat="1" ht="33.75" x14ac:dyDescent="0.25">
      <c r="A12" s="71"/>
      <c r="B12" s="73" t="s">
        <v>31</v>
      </c>
      <c r="C12" s="78">
        <v>623</v>
      </c>
      <c r="D12" s="40">
        <v>1446</v>
      </c>
      <c r="E12" s="41" t="s">
        <v>60</v>
      </c>
      <c r="F12" s="43">
        <f>D12/1894</f>
        <v>0.76346356916578673</v>
      </c>
      <c r="G12" s="71"/>
      <c r="H12" s="77">
        <v>24401</v>
      </c>
      <c r="I12" s="77">
        <v>18588</v>
      </c>
      <c r="J12" s="77">
        <v>14831</v>
      </c>
      <c r="K12" s="77">
        <v>7233</v>
      </c>
      <c r="L12" s="77">
        <v>10546</v>
      </c>
      <c r="M12" s="77">
        <v>7764</v>
      </c>
      <c r="N12" s="77">
        <v>16108</v>
      </c>
      <c r="O12" s="77">
        <v>15231</v>
      </c>
      <c r="P12" s="77">
        <v>6213</v>
      </c>
      <c r="Q12" s="78">
        <v>20983</v>
      </c>
      <c r="R12" s="78">
        <v>621</v>
      </c>
      <c r="S12" s="78">
        <v>23169</v>
      </c>
      <c r="T12" s="77">
        <v>180</v>
      </c>
      <c r="U12" s="78">
        <v>1132</v>
      </c>
      <c r="V12" s="77">
        <v>368</v>
      </c>
      <c r="W12" s="77">
        <v>3990</v>
      </c>
      <c r="X12" s="77">
        <v>166</v>
      </c>
      <c r="Y12" s="77">
        <v>117</v>
      </c>
      <c r="Z12" s="77">
        <v>213</v>
      </c>
      <c r="AA12" s="78">
        <v>0</v>
      </c>
      <c r="AB12" s="97">
        <v>0</v>
      </c>
      <c r="AC12" s="77">
        <v>0</v>
      </c>
    </row>
    <row r="13" spans="1:29" s="17" customFormat="1" ht="22.5" x14ac:dyDescent="0.25">
      <c r="A13" s="71"/>
      <c r="B13" s="73"/>
      <c r="C13" s="79"/>
      <c r="D13" s="40">
        <v>31</v>
      </c>
      <c r="E13" s="41" t="s">
        <v>5</v>
      </c>
      <c r="F13" s="43">
        <f>D13/1894</f>
        <v>1.6367476240760296E-2</v>
      </c>
      <c r="G13" s="71"/>
      <c r="H13" s="77"/>
      <c r="I13" s="77"/>
      <c r="J13" s="77"/>
      <c r="K13" s="77"/>
      <c r="L13" s="77"/>
      <c r="M13" s="77"/>
      <c r="N13" s="77"/>
      <c r="O13" s="77"/>
      <c r="P13" s="77"/>
      <c r="Q13" s="79"/>
      <c r="R13" s="79"/>
      <c r="S13" s="79"/>
      <c r="T13" s="77"/>
      <c r="U13" s="79"/>
      <c r="V13" s="77"/>
      <c r="W13" s="77"/>
      <c r="X13" s="77"/>
      <c r="Y13" s="77"/>
      <c r="Z13" s="77"/>
      <c r="AA13" s="79"/>
      <c r="AB13" s="98"/>
      <c r="AC13" s="77"/>
    </row>
    <row r="14" spans="1:29" s="17" customFormat="1" ht="11.25" x14ac:dyDescent="0.25">
      <c r="A14" s="71"/>
      <c r="B14" s="73"/>
      <c r="C14" s="79"/>
      <c r="D14" s="40">
        <v>112</v>
      </c>
      <c r="E14" s="41" t="s">
        <v>6</v>
      </c>
      <c r="F14" s="43">
        <f>D14/1894</f>
        <v>5.9134107708553325E-2</v>
      </c>
      <c r="G14" s="71"/>
      <c r="H14" s="77"/>
      <c r="I14" s="77"/>
      <c r="J14" s="77"/>
      <c r="K14" s="77"/>
      <c r="L14" s="77"/>
      <c r="M14" s="77"/>
      <c r="N14" s="77"/>
      <c r="O14" s="77"/>
      <c r="P14" s="77"/>
      <c r="Q14" s="79"/>
      <c r="R14" s="79"/>
      <c r="S14" s="79"/>
      <c r="T14" s="77"/>
      <c r="U14" s="79"/>
      <c r="V14" s="77"/>
      <c r="W14" s="77"/>
      <c r="X14" s="77"/>
      <c r="Y14" s="77"/>
      <c r="Z14" s="77"/>
      <c r="AA14" s="79"/>
      <c r="AB14" s="98"/>
      <c r="AC14" s="77"/>
    </row>
    <row r="15" spans="1:29" s="17" customFormat="1" ht="22.5" x14ac:dyDescent="0.25">
      <c r="A15" s="71"/>
      <c r="B15" s="73"/>
      <c r="C15" s="80"/>
      <c r="D15" s="40">
        <v>305</v>
      </c>
      <c r="E15" s="41" t="s">
        <v>4</v>
      </c>
      <c r="F15" s="43">
        <f>D15/1894</f>
        <v>0.16103484688489969</v>
      </c>
      <c r="G15" s="71"/>
      <c r="H15" s="77"/>
      <c r="I15" s="77"/>
      <c r="J15" s="77"/>
      <c r="K15" s="77"/>
      <c r="L15" s="77"/>
      <c r="M15" s="77"/>
      <c r="N15" s="77"/>
      <c r="O15" s="77"/>
      <c r="P15" s="77"/>
      <c r="Q15" s="80"/>
      <c r="R15" s="80"/>
      <c r="S15" s="80"/>
      <c r="T15" s="77"/>
      <c r="U15" s="80"/>
      <c r="V15" s="77"/>
      <c r="W15" s="77"/>
      <c r="X15" s="77"/>
      <c r="Y15" s="77"/>
      <c r="Z15" s="77"/>
      <c r="AA15" s="80"/>
      <c r="AB15" s="99"/>
      <c r="AC15" s="77"/>
    </row>
    <row r="16" spans="1:29" s="17" customFormat="1" ht="39.75" customHeight="1" x14ac:dyDescent="0.25">
      <c r="A16" s="71"/>
      <c r="B16" s="73" t="s">
        <v>36</v>
      </c>
      <c r="C16" s="78">
        <v>280</v>
      </c>
      <c r="D16" s="40">
        <v>550</v>
      </c>
      <c r="E16" s="41" t="s">
        <v>60</v>
      </c>
      <c r="F16" s="43">
        <f>D16/587</f>
        <v>0.93696763202725719</v>
      </c>
      <c r="G16" s="71"/>
      <c r="H16" s="77">
        <v>8287</v>
      </c>
      <c r="I16" s="77">
        <v>6090</v>
      </c>
      <c r="J16" s="77">
        <v>3495</v>
      </c>
      <c r="K16" s="77">
        <v>3063</v>
      </c>
      <c r="L16" s="77">
        <v>3150</v>
      </c>
      <c r="M16" s="77">
        <v>2418</v>
      </c>
      <c r="N16" s="77">
        <v>5855</v>
      </c>
      <c r="O16" s="77">
        <v>3961</v>
      </c>
      <c r="P16" s="77">
        <v>1608</v>
      </c>
      <c r="Q16" s="78">
        <v>5664</v>
      </c>
      <c r="R16" s="78">
        <v>910</v>
      </c>
      <c r="S16" s="78">
        <v>15156</v>
      </c>
      <c r="T16" s="77">
        <v>60</v>
      </c>
      <c r="U16" s="78">
        <v>1130</v>
      </c>
      <c r="V16" s="77">
        <v>276</v>
      </c>
      <c r="W16" s="77">
        <v>2066</v>
      </c>
      <c r="X16" s="77">
        <v>0</v>
      </c>
      <c r="Y16" s="77">
        <v>50</v>
      </c>
      <c r="Z16" s="77">
        <v>125</v>
      </c>
      <c r="AA16" s="78">
        <v>0</v>
      </c>
      <c r="AB16" s="78">
        <v>0</v>
      </c>
      <c r="AC16" s="77">
        <v>0</v>
      </c>
    </row>
    <row r="17" spans="1:29" s="17" customFormat="1" ht="33.75" customHeight="1" x14ac:dyDescent="0.25">
      <c r="A17" s="71"/>
      <c r="B17" s="73"/>
      <c r="C17" s="79"/>
      <c r="D17" s="40">
        <v>20</v>
      </c>
      <c r="E17" s="41" t="s">
        <v>5</v>
      </c>
      <c r="F17" s="43">
        <f>D17/857</f>
        <v>2.3337222870478413E-2</v>
      </c>
      <c r="G17" s="71"/>
      <c r="H17" s="77"/>
      <c r="I17" s="77"/>
      <c r="J17" s="77"/>
      <c r="K17" s="77"/>
      <c r="L17" s="77"/>
      <c r="M17" s="77"/>
      <c r="N17" s="77"/>
      <c r="O17" s="77"/>
      <c r="P17" s="77"/>
      <c r="Q17" s="79"/>
      <c r="R17" s="79"/>
      <c r="S17" s="79"/>
      <c r="T17" s="77"/>
      <c r="U17" s="79"/>
      <c r="V17" s="77"/>
      <c r="W17" s="77"/>
      <c r="X17" s="77"/>
      <c r="Y17" s="77"/>
      <c r="Z17" s="77"/>
      <c r="AA17" s="79"/>
      <c r="AB17" s="79"/>
      <c r="AC17" s="77"/>
    </row>
    <row r="18" spans="1:29" s="17" customFormat="1" ht="11.25" x14ac:dyDescent="0.25">
      <c r="A18" s="71"/>
      <c r="B18" s="73"/>
      <c r="C18" s="79"/>
      <c r="D18" s="40">
        <v>76</v>
      </c>
      <c r="E18" s="41" t="s">
        <v>6</v>
      </c>
      <c r="F18" s="43">
        <f>D18/857</f>
        <v>8.8681446907817971E-2</v>
      </c>
      <c r="G18" s="71"/>
      <c r="H18" s="77"/>
      <c r="I18" s="77"/>
      <c r="J18" s="77"/>
      <c r="K18" s="77"/>
      <c r="L18" s="77"/>
      <c r="M18" s="77"/>
      <c r="N18" s="77"/>
      <c r="O18" s="77"/>
      <c r="P18" s="77"/>
      <c r="Q18" s="79"/>
      <c r="R18" s="79"/>
      <c r="S18" s="79"/>
      <c r="T18" s="77"/>
      <c r="U18" s="79"/>
      <c r="V18" s="77"/>
      <c r="W18" s="77"/>
      <c r="X18" s="77"/>
      <c r="Y18" s="77"/>
      <c r="Z18" s="77"/>
      <c r="AA18" s="79"/>
      <c r="AB18" s="79"/>
      <c r="AC18" s="77"/>
    </row>
    <row r="19" spans="1:29" s="17" customFormat="1" ht="22.5" x14ac:dyDescent="0.25">
      <c r="A19" s="71"/>
      <c r="B19" s="73"/>
      <c r="C19" s="80"/>
      <c r="D19" s="40">
        <v>211</v>
      </c>
      <c r="E19" s="41" t="s">
        <v>4</v>
      </c>
      <c r="F19" s="43">
        <f>D19/857</f>
        <v>0.24620770128354727</v>
      </c>
      <c r="G19" s="71"/>
      <c r="H19" s="77"/>
      <c r="I19" s="77"/>
      <c r="J19" s="77"/>
      <c r="K19" s="77"/>
      <c r="L19" s="77"/>
      <c r="M19" s="77"/>
      <c r="N19" s="77"/>
      <c r="O19" s="77"/>
      <c r="P19" s="77"/>
      <c r="Q19" s="80"/>
      <c r="R19" s="80"/>
      <c r="S19" s="80"/>
      <c r="T19" s="77"/>
      <c r="U19" s="80"/>
      <c r="V19" s="77"/>
      <c r="W19" s="77"/>
      <c r="X19" s="77"/>
      <c r="Y19" s="77"/>
      <c r="Z19" s="77"/>
      <c r="AA19" s="80"/>
      <c r="AB19" s="80"/>
      <c r="AC19" s="77"/>
    </row>
    <row r="20" spans="1:29" s="17" customFormat="1" ht="33.75" x14ac:dyDescent="0.25">
      <c r="A20" s="71"/>
      <c r="B20" s="73" t="s">
        <v>37</v>
      </c>
      <c r="C20" s="78">
        <v>103</v>
      </c>
      <c r="D20" s="40">
        <v>222</v>
      </c>
      <c r="E20" s="41" t="s">
        <v>60</v>
      </c>
      <c r="F20" s="43">
        <f>D20/302</f>
        <v>0.73509933774834435</v>
      </c>
      <c r="G20" s="71"/>
      <c r="H20" s="77">
        <v>3950</v>
      </c>
      <c r="I20" s="77">
        <v>1098</v>
      </c>
      <c r="J20" s="77">
        <v>1578</v>
      </c>
      <c r="K20" s="77">
        <v>938</v>
      </c>
      <c r="L20" s="77">
        <v>1239</v>
      </c>
      <c r="M20" s="77">
        <v>1193</v>
      </c>
      <c r="N20" s="77">
        <v>1656</v>
      </c>
      <c r="O20" s="77">
        <v>1640</v>
      </c>
      <c r="P20" s="77">
        <v>283</v>
      </c>
      <c r="Q20" s="78">
        <v>2388</v>
      </c>
      <c r="R20" s="78">
        <v>184</v>
      </c>
      <c r="S20" s="78">
        <v>2983</v>
      </c>
      <c r="T20" s="77">
        <v>30</v>
      </c>
      <c r="U20" s="78">
        <v>748</v>
      </c>
      <c r="V20" s="77">
        <v>0</v>
      </c>
      <c r="W20" s="77">
        <v>184</v>
      </c>
      <c r="X20" s="77">
        <v>0</v>
      </c>
      <c r="Y20" s="77">
        <v>14</v>
      </c>
      <c r="Z20" s="77">
        <v>22</v>
      </c>
      <c r="AA20" s="78">
        <v>0</v>
      </c>
      <c r="AB20" s="78">
        <v>0</v>
      </c>
      <c r="AC20" s="77">
        <v>50</v>
      </c>
    </row>
    <row r="21" spans="1:29" s="17" customFormat="1" ht="22.5" x14ac:dyDescent="0.25">
      <c r="A21" s="71"/>
      <c r="B21" s="73"/>
      <c r="C21" s="79"/>
      <c r="D21" s="40">
        <v>3</v>
      </c>
      <c r="E21" s="41" t="s">
        <v>5</v>
      </c>
      <c r="F21" s="43">
        <f>D21/302</f>
        <v>9.9337748344370865E-3</v>
      </c>
      <c r="G21" s="71"/>
      <c r="H21" s="77"/>
      <c r="I21" s="77"/>
      <c r="J21" s="77"/>
      <c r="K21" s="77"/>
      <c r="L21" s="77"/>
      <c r="M21" s="77"/>
      <c r="N21" s="77"/>
      <c r="O21" s="77"/>
      <c r="P21" s="77"/>
      <c r="Q21" s="79"/>
      <c r="R21" s="79"/>
      <c r="S21" s="79"/>
      <c r="T21" s="77"/>
      <c r="U21" s="79"/>
      <c r="V21" s="77"/>
      <c r="W21" s="77"/>
      <c r="X21" s="77"/>
      <c r="Y21" s="77"/>
      <c r="Z21" s="77"/>
      <c r="AA21" s="79"/>
      <c r="AB21" s="79"/>
      <c r="AC21" s="77"/>
    </row>
    <row r="22" spans="1:29" s="17" customFormat="1" ht="11.25" x14ac:dyDescent="0.25">
      <c r="A22" s="71"/>
      <c r="B22" s="73"/>
      <c r="C22" s="79"/>
      <c r="D22" s="40">
        <v>28</v>
      </c>
      <c r="E22" s="41" t="s">
        <v>6</v>
      </c>
      <c r="F22" s="43">
        <f>D22/302</f>
        <v>9.2715231788079472E-2</v>
      </c>
      <c r="G22" s="71"/>
      <c r="H22" s="77"/>
      <c r="I22" s="77"/>
      <c r="J22" s="77"/>
      <c r="K22" s="77"/>
      <c r="L22" s="77"/>
      <c r="M22" s="77"/>
      <c r="N22" s="77"/>
      <c r="O22" s="77"/>
      <c r="P22" s="77"/>
      <c r="Q22" s="79"/>
      <c r="R22" s="79"/>
      <c r="S22" s="79"/>
      <c r="T22" s="77"/>
      <c r="U22" s="79"/>
      <c r="V22" s="77"/>
      <c r="W22" s="77"/>
      <c r="X22" s="77"/>
      <c r="Y22" s="77"/>
      <c r="Z22" s="77"/>
      <c r="AA22" s="79"/>
      <c r="AB22" s="79"/>
      <c r="AC22" s="77"/>
    </row>
    <row r="23" spans="1:29" s="17" customFormat="1" ht="27" customHeight="1" x14ac:dyDescent="0.25">
      <c r="A23" s="71"/>
      <c r="B23" s="73"/>
      <c r="C23" s="80"/>
      <c r="D23" s="40">
        <v>49</v>
      </c>
      <c r="E23" s="41" t="s">
        <v>4</v>
      </c>
      <c r="F23" s="43">
        <f>D23/302</f>
        <v>0.16225165562913907</v>
      </c>
      <c r="G23" s="71"/>
      <c r="H23" s="77"/>
      <c r="I23" s="77"/>
      <c r="J23" s="77"/>
      <c r="K23" s="77"/>
      <c r="L23" s="77"/>
      <c r="M23" s="77"/>
      <c r="N23" s="77"/>
      <c r="O23" s="77"/>
      <c r="P23" s="77"/>
      <c r="Q23" s="80"/>
      <c r="R23" s="80"/>
      <c r="S23" s="80"/>
      <c r="T23" s="77"/>
      <c r="U23" s="80"/>
      <c r="V23" s="77"/>
      <c r="W23" s="77"/>
      <c r="X23" s="77"/>
      <c r="Y23" s="77"/>
      <c r="Z23" s="77"/>
      <c r="AA23" s="80"/>
      <c r="AB23" s="80"/>
      <c r="AC23" s="77"/>
    </row>
    <row r="24" spans="1:29" s="17" customFormat="1" ht="33" customHeight="1" x14ac:dyDescent="0.25">
      <c r="A24" s="71"/>
      <c r="B24" s="73" t="s">
        <v>35</v>
      </c>
      <c r="C24" s="78">
        <v>179</v>
      </c>
      <c r="D24" s="40">
        <v>334</v>
      </c>
      <c r="E24" s="41" t="s">
        <v>60</v>
      </c>
      <c r="F24" s="43">
        <f>D24/453</f>
        <v>0.73730684326710816</v>
      </c>
      <c r="G24" s="71"/>
      <c r="H24" s="77">
        <v>2041</v>
      </c>
      <c r="I24" s="77">
        <v>3150</v>
      </c>
      <c r="J24" s="77">
        <v>3819</v>
      </c>
      <c r="K24" s="77">
        <v>1148</v>
      </c>
      <c r="L24" s="78">
        <v>2039</v>
      </c>
      <c r="M24" s="78">
        <v>1277</v>
      </c>
      <c r="N24" s="78">
        <v>1659</v>
      </c>
      <c r="O24" s="78">
        <v>2334</v>
      </c>
      <c r="P24" s="78">
        <v>578</v>
      </c>
      <c r="Q24" s="78">
        <v>2658</v>
      </c>
      <c r="R24" s="78">
        <v>0</v>
      </c>
      <c r="S24" s="78">
        <v>7128</v>
      </c>
      <c r="T24" s="78">
        <v>0</v>
      </c>
      <c r="U24" s="78">
        <v>540</v>
      </c>
      <c r="V24" s="78">
        <v>100</v>
      </c>
      <c r="W24" s="77">
        <v>476</v>
      </c>
      <c r="X24" s="78">
        <v>0</v>
      </c>
      <c r="Y24" s="78">
        <v>8</v>
      </c>
      <c r="Z24" s="78">
        <v>9</v>
      </c>
      <c r="AA24" s="78">
        <v>0</v>
      </c>
      <c r="AB24" s="78">
        <v>0</v>
      </c>
      <c r="AC24" s="78">
        <v>0</v>
      </c>
    </row>
    <row r="25" spans="1:29" s="17" customFormat="1" ht="30.75" customHeight="1" x14ac:dyDescent="0.25">
      <c r="A25" s="71"/>
      <c r="B25" s="73"/>
      <c r="C25" s="79"/>
      <c r="D25" s="40">
        <v>7</v>
      </c>
      <c r="E25" s="41" t="s">
        <v>5</v>
      </c>
      <c r="F25" s="43">
        <f>D25/453</f>
        <v>1.5452538631346579E-2</v>
      </c>
      <c r="G25" s="71"/>
      <c r="H25" s="77"/>
      <c r="I25" s="77"/>
      <c r="J25" s="77"/>
      <c r="K25" s="77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7"/>
      <c r="X25" s="79"/>
      <c r="Y25" s="79"/>
      <c r="Z25" s="79"/>
      <c r="AA25" s="79"/>
      <c r="AB25" s="79"/>
      <c r="AC25" s="79"/>
    </row>
    <row r="26" spans="1:29" s="17" customFormat="1" ht="11.25" x14ac:dyDescent="0.25">
      <c r="A26" s="71"/>
      <c r="B26" s="73"/>
      <c r="C26" s="79"/>
      <c r="D26" s="40">
        <v>16</v>
      </c>
      <c r="E26" s="41" t="s">
        <v>6</v>
      </c>
      <c r="F26" s="43">
        <f>D26/453</f>
        <v>3.5320088300220751E-2</v>
      </c>
      <c r="G26" s="71"/>
      <c r="H26" s="77"/>
      <c r="I26" s="77"/>
      <c r="J26" s="77"/>
      <c r="K26" s="77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7"/>
      <c r="X26" s="79"/>
      <c r="Y26" s="79"/>
      <c r="Z26" s="79"/>
      <c r="AA26" s="79"/>
      <c r="AB26" s="79"/>
      <c r="AC26" s="79"/>
    </row>
    <row r="27" spans="1:29" s="17" customFormat="1" ht="22.5" x14ac:dyDescent="0.25">
      <c r="A27" s="71"/>
      <c r="B27" s="73"/>
      <c r="C27" s="80"/>
      <c r="D27" s="40">
        <v>96</v>
      </c>
      <c r="E27" s="41" t="s">
        <v>4</v>
      </c>
      <c r="F27" s="43">
        <f>D27/453</f>
        <v>0.2119205298013245</v>
      </c>
      <c r="G27" s="71"/>
      <c r="H27" s="77"/>
      <c r="I27" s="77"/>
      <c r="J27" s="77"/>
      <c r="K27" s="77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77"/>
      <c r="X27" s="80"/>
      <c r="Y27" s="80"/>
      <c r="Z27" s="80"/>
      <c r="AA27" s="80"/>
      <c r="AB27" s="80"/>
      <c r="AC27" s="80"/>
    </row>
    <row r="28" spans="1:29" s="17" customFormat="1" ht="33.75" x14ac:dyDescent="0.25">
      <c r="A28" s="71"/>
      <c r="B28" s="73" t="s">
        <v>54</v>
      </c>
      <c r="C28" s="78">
        <v>160</v>
      </c>
      <c r="D28" s="40">
        <v>307</v>
      </c>
      <c r="E28" s="41" t="s">
        <v>60</v>
      </c>
      <c r="F28" s="43">
        <f>D28/428</f>
        <v>0.71728971962616828</v>
      </c>
      <c r="G28" s="71"/>
      <c r="H28" s="77">
        <v>2918</v>
      </c>
      <c r="I28" s="77">
        <v>5184</v>
      </c>
      <c r="J28" s="77">
        <v>1353</v>
      </c>
      <c r="K28" s="77">
        <v>1289</v>
      </c>
      <c r="L28" s="77">
        <v>2206</v>
      </c>
      <c r="M28" s="77">
        <v>750</v>
      </c>
      <c r="N28" s="77">
        <v>3735</v>
      </c>
      <c r="O28" s="77">
        <v>3978</v>
      </c>
      <c r="P28" s="77">
        <v>603</v>
      </c>
      <c r="Q28" s="78">
        <v>2394</v>
      </c>
      <c r="R28" s="78">
        <v>0</v>
      </c>
      <c r="S28" s="78">
        <v>3643</v>
      </c>
      <c r="T28" s="77">
        <v>180</v>
      </c>
      <c r="U28" s="78">
        <v>1614</v>
      </c>
      <c r="V28" s="77">
        <v>0</v>
      </c>
      <c r="W28" s="77">
        <v>1817</v>
      </c>
      <c r="X28" s="77">
        <v>0</v>
      </c>
      <c r="Y28" s="77">
        <v>36</v>
      </c>
      <c r="Z28" s="77">
        <v>50</v>
      </c>
      <c r="AA28" s="78">
        <v>0</v>
      </c>
      <c r="AB28" s="78">
        <v>0</v>
      </c>
      <c r="AC28" s="77">
        <v>0</v>
      </c>
    </row>
    <row r="29" spans="1:29" s="17" customFormat="1" ht="22.5" x14ac:dyDescent="0.25">
      <c r="A29" s="71"/>
      <c r="B29" s="73"/>
      <c r="C29" s="79"/>
      <c r="D29" s="40">
        <v>11</v>
      </c>
      <c r="E29" s="41" t="s">
        <v>5</v>
      </c>
      <c r="F29" s="43">
        <f>D29/428</f>
        <v>2.5700934579439252E-2</v>
      </c>
      <c r="G29" s="71"/>
      <c r="H29" s="77"/>
      <c r="I29" s="77"/>
      <c r="J29" s="77"/>
      <c r="K29" s="77"/>
      <c r="L29" s="77"/>
      <c r="M29" s="77"/>
      <c r="N29" s="77"/>
      <c r="O29" s="77"/>
      <c r="P29" s="77"/>
      <c r="Q29" s="79"/>
      <c r="R29" s="79"/>
      <c r="S29" s="79"/>
      <c r="T29" s="77"/>
      <c r="U29" s="79"/>
      <c r="V29" s="77"/>
      <c r="W29" s="77"/>
      <c r="X29" s="77"/>
      <c r="Y29" s="77"/>
      <c r="Z29" s="77"/>
      <c r="AA29" s="79"/>
      <c r="AB29" s="79"/>
      <c r="AC29" s="77"/>
    </row>
    <row r="30" spans="1:29" s="17" customFormat="1" ht="24.75" customHeight="1" x14ac:dyDescent="0.25">
      <c r="A30" s="71"/>
      <c r="B30" s="73"/>
      <c r="C30" s="79"/>
      <c r="D30" s="40">
        <v>38</v>
      </c>
      <c r="E30" s="41" t="s">
        <v>6</v>
      </c>
      <c r="F30" s="43">
        <f>D30/428</f>
        <v>8.8785046728971959E-2</v>
      </c>
      <c r="G30" s="71"/>
      <c r="H30" s="77"/>
      <c r="I30" s="77"/>
      <c r="J30" s="77"/>
      <c r="K30" s="77"/>
      <c r="L30" s="77"/>
      <c r="M30" s="77"/>
      <c r="N30" s="77"/>
      <c r="O30" s="77"/>
      <c r="P30" s="77"/>
      <c r="Q30" s="79"/>
      <c r="R30" s="79"/>
      <c r="S30" s="79"/>
      <c r="T30" s="77"/>
      <c r="U30" s="79"/>
      <c r="V30" s="77"/>
      <c r="W30" s="77"/>
      <c r="X30" s="77"/>
      <c r="Y30" s="77"/>
      <c r="Z30" s="77"/>
      <c r="AA30" s="79"/>
      <c r="AB30" s="79"/>
      <c r="AC30" s="77"/>
    </row>
    <row r="31" spans="1:29" s="17" customFormat="1" ht="15" customHeight="1" x14ac:dyDescent="0.25">
      <c r="A31" s="71"/>
      <c r="B31" s="73"/>
      <c r="C31" s="80"/>
      <c r="D31" s="40">
        <v>72</v>
      </c>
      <c r="E31" s="41" t="s">
        <v>4</v>
      </c>
      <c r="F31" s="43">
        <f>D31/428</f>
        <v>0.16822429906542055</v>
      </c>
      <c r="G31" s="71"/>
      <c r="H31" s="77"/>
      <c r="I31" s="77"/>
      <c r="J31" s="77"/>
      <c r="K31" s="77"/>
      <c r="L31" s="77"/>
      <c r="M31" s="77"/>
      <c r="N31" s="77"/>
      <c r="O31" s="77"/>
      <c r="P31" s="77"/>
      <c r="Q31" s="80"/>
      <c r="R31" s="80"/>
      <c r="S31" s="80"/>
      <c r="T31" s="77"/>
      <c r="U31" s="80"/>
      <c r="V31" s="77"/>
      <c r="W31" s="77"/>
      <c r="X31" s="77"/>
      <c r="Y31" s="77"/>
      <c r="Z31" s="77"/>
      <c r="AA31" s="80"/>
      <c r="AB31" s="80"/>
      <c r="AC31" s="77"/>
    </row>
    <row r="32" spans="1:29" s="17" customFormat="1" ht="33.75" x14ac:dyDescent="0.25">
      <c r="A32" s="71"/>
      <c r="B32" s="73" t="s">
        <v>38</v>
      </c>
      <c r="C32" s="78">
        <v>33</v>
      </c>
      <c r="D32" s="40">
        <v>86</v>
      </c>
      <c r="E32" s="41" t="s">
        <v>60</v>
      </c>
      <c r="F32" s="43">
        <f>D32/118</f>
        <v>0.72881355932203384</v>
      </c>
      <c r="G32" s="71"/>
      <c r="H32" s="77">
        <v>1378</v>
      </c>
      <c r="I32" s="77">
        <v>1090</v>
      </c>
      <c r="J32" s="77">
        <v>552</v>
      </c>
      <c r="K32" s="77">
        <v>414</v>
      </c>
      <c r="L32" s="77">
        <v>776</v>
      </c>
      <c r="M32" s="77">
        <v>580</v>
      </c>
      <c r="N32" s="77">
        <v>732</v>
      </c>
      <c r="O32" s="77">
        <v>486</v>
      </c>
      <c r="P32" s="77">
        <v>0</v>
      </c>
      <c r="Q32" s="78">
        <v>826</v>
      </c>
      <c r="R32" s="78">
        <v>150</v>
      </c>
      <c r="S32" s="78">
        <v>1736</v>
      </c>
      <c r="T32" s="77">
        <v>60</v>
      </c>
      <c r="U32" s="78">
        <v>88</v>
      </c>
      <c r="V32" s="77">
        <v>0</v>
      </c>
      <c r="W32" s="77">
        <v>0</v>
      </c>
      <c r="X32" s="77">
        <v>0</v>
      </c>
      <c r="Y32" s="77">
        <v>17</v>
      </c>
      <c r="Z32" s="77">
        <v>7</v>
      </c>
      <c r="AA32" s="78">
        <v>0</v>
      </c>
      <c r="AB32" s="78">
        <v>0</v>
      </c>
      <c r="AC32" s="77">
        <v>15</v>
      </c>
    </row>
    <row r="33" spans="1:29" s="17" customFormat="1" ht="22.5" x14ac:dyDescent="0.25">
      <c r="A33" s="71"/>
      <c r="B33" s="73"/>
      <c r="C33" s="79"/>
      <c r="D33" s="40">
        <v>3</v>
      </c>
      <c r="E33" s="41" t="s">
        <v>5</v>
      </c>
      <c r="F33" s="43">
        <f>D33/118</f>
        <v>2.5423728813559324E-2</v>
      </c>
      <c r="G33" s="71"/>
      <c r="H33" s="77"/>
      <c r="I33" s="77"/>
      <c r="J33" s="77"/>
      <c r="K33" s="77"/>
      <c r="L33" s="77"/>
      <c r="M33" s="77"/>
      <c r="N33" s="77"/>
      <c r="O33" s="77"/>
      <c r="P33" s="77"/>
      <c r="Q33" s="79"/>
      <c r="R33" s="79"/>
      <c r="S33" s="79"/>
      <c r="T33" s="77"/>
      <c r="U33" s="79"/>
      <c r="V33" s="77"/>
      <c r="W33" s="77"/>
      <c r="X33" s="77"/>
      <c r="Y33" s="77"/>
      <c r="Z33" s="77"/>
      <c r="AA33" s="79"/>
      <c r="AB33" s="79"/>
      <c r="AC33" s="77"/>
    </row>
    <row r="34" spans="1:29" s="17" customFormat="1" ht="11.25" x14ac:dyDescent="0.25">
      <c r="A34" s="71"/>
      <c r="B34" s="73"/>
      <c r="C34" s="79"/>
      <c r="D34" s="40">
        <v>9</v>
      </c>
      <c r="E34" s="41" t="s">
        <v>6</v>
      </c>
      <c r="F34" s="43">
        <f>D34/118</f>
        <v>7.6271186440677971E-2</v>
      </c>
      <c r="G34" s="71"/>
      <c r="H34" s="77"/>
      <c r="I34" s="77"/>
      <c r="J34" s="77"/>
      <c r="K34" s="77"/>
      <c r="L34" s="77"/>
      <c r="M34" s="77"/>
      <c r="N34" s="77"/>
      <c r="O34" s="77"/>
      <c r="P34" s="77"/>
      <c r="Q34" s="79"/>
      <c r="R34" s="79"/>
      <c r="S34" s="79"/>
      <c r="T34" s="77"/>
      <c r="U34" s="79"/>
      <c r="V34" s="77"/>
      <c r="W34" s="77"/>
      <c r="X34" s="77"/>
      <c r="Y34" s="77"/>
      <c r="Z34" s="77"/>
      <c r="AA34" s="79"/>
      <c r="AB34" s="79"/>
      <c r="AC34" s="77"/>
    </row>
    <row r="35" spans="1:29" s="17" customFormat="1" ht="24" customHeight="1" x14ac:dyDescent="0.25">
      <c r="A35" s="71"/>
      <c r="B35" s="73"/>
      <c r="C35" s="80"/>
      <c r="D35" s="40">
        <v>20</v>
      </c>
      <c r="E35" s="41" t="s">
        <v>4</v>
      </c>
      <c r="F35" s="43">
        <f>D35/118</f>
        <v>0.16949152542372881</v>
      </c>
      <c r="G35" s="71"/>
      <c r="H35" s="77"/>
      <c r="I35" s="77"/>
      <c r="J35" s="77"/>
      <c r="K35" s="77"/>
      <c r="L35" s="77"/>
      <c r="M35" s="77"/>
      <c r="N35" s="77"/>
      <c r="O35" s="77"/>
      <c r="P35" s="77"/>
      <c r="Q35" s="80"/>
      <c r="R35" s="80"/>
      <c r="S35" s="80"/>
      <c r="T35" s="77"/>
      <c r="U35" s="80"/>
      <c r="V35" s="77"/>
      <c r="W35" s="77"/>
      <c r="X35" s="77"/>
      <c r="Y35" s="77"/>
      <c r="Z35" s="77"/>
      <c r="AA35" s="80"/>
      <c r="AB35" s="80"/>
      <c r="AC35" s="77"/>
    </row>
    <row r="36" spans="1:29" s="17" customFormat="1" ht="28.5" customHeight="1" x14ac:dyDescent="0.25">
      <c r="A36" s="71"/>
      <c r="B36" s="73" t="s">
        <v>62</v>
      </c>
      <c r="C36" s="78">
        <v>435</v>
      </c>
      <c r="D36" s="40">
        <v>813</v>
      </c>
      <c r="E36" s="41" t="s">
        <v>60</v>
      </c>
      <c r="F36" s="43">
        <f>D36/1229</f>
        <v>0.66151342554922699</v>
      </c>
      <c r="G36" s="71"/>
      <c r="H36" s="77">
        <v>10886</v>
      </c>
      <c r="I36" s="77">
        <v>7374</v>
      </c>
      <c r="J36" s="77">
        <v>14569</v>
      </c>
      <c r="K36" s="77">
        <v>3349</v>
      </c>
      <c r="L36" s="77">
        <v>6848</v>
      </c>
      <c r="M36" s="77">
        <v>2092</v>
      </c>
      <c r="N36" s="77">
        <v>11673</v>
      </c>
      <c r="O36" s="77">
        <v>7818</v>
      </c>
      <c r="P36" s="77">
        <v>1984</v>
      </c>
      <c r="Q36" s="78">
        <v>7985</v>
      </c>
      <c r="R36" s="78">
        <v>322</v>
      </c>
      <c r="S36" s="78">
        <v>22594</v>
      </c>
      <c r="T36" s="77">
        <v>0</v>
      </c>
      <c r="U36" s="78">
        <v>2598</v>
      </c>
      <c r="V36" s="77">
        <v>844</v>
      </c>
      <c r="W36" s="77">
        <v>7499</v>
      </c>
      <c r="X36" s="77">
        <v>212</v>
      </c>
      <c r="Y36" s="77">
        <v>70</v>
      </c>
      <c r="Z36" s="77">
        <v>171</v>
      </c>
      <c r="AA36" s="78">
        <v>46</v>
      </c>
      <c r="AB36" s="78">
        <v>7</v>
      </c>
      <c r="AC36" s="77">
        <v>51</v>
      </c>
    </row>
    <row r="37" spans="1:29" s="17" customFormat="1" ht="24" customHeight="1" x14ac:dyDescent="0.25">
      <c r="A37" s="71"/>
      <c r="B37" s="73"/>
      <c r="C37" s="79"/>
      <c r="D37" s="40">
        <v>54</v>
      </c>
      <c r="E37" s="41" t="s">
        <v>5</v>
      </c>
      <c r="F37" s="43">
        <f>D37/1229</f>
        <v>4.3938161106590726E-2</v>
      </c>
      <c r="G37" s="71"/>
      <c r="H37" s="77"/>
      <c r="I37" s="77"/>
      <c r="J37" s="77"/>
      <c r="K37" s="77"/>
      <c r="L37" s="77"/>
      <c r="M37" s="77"/>
      <c r="N37" s="77"/>
      <c r="O37" s="77"/>
      <c r="P37" s="77"/>
      <c r="Q37" s="79"/>
      <c r="R37" s="79"/>
      <c r="S37" s="79"/>
      <c r="T37" s="77"/>
      <c r="U37" s="79"/>
      <c r="V37" s="77"/>
      <c r="W37" s="77"/>
      <c r="X37" s="77"/>
      <c r="Y37" s="77"/>
      <c r="Z37" s="77"/>
      <c r="AA37" s="79"/>
      <c r="AB37" s="79"/>
      <c r="AC37" s="77"/>
    </row>
    <row r="38" spans="1:29" s="17" customFormat="1" ht="11.25" x14ac:dyDescent="0.25">
      <c r="A38" s="71"/>
      <c r="B38" s="73"/>
      <c r="C38" s="79"/>
      <c r="D38" s="40">
        <v>91</v>
      </c>
      <c r="E38" s="41" t="s">
        <v>6</v>
      </c>
      <c r="F38" s="43">
        <f>D38/1229</f>
        <v>7.404393816110659E-2</v>
      </c>
      <c r="G38" s="71"/>
      <c r="H38" s="77"/>
      <c r="I38" s="77"/>
      <c r="J38" s="77"/>
      <c r="K38" s="77"/>
      <c r="L38" s="77"/>
      <c r="M38" s="77"/>
      <c r="N38" s="77"/>
      <c r="O38" s="77"/>
      <c r="P38" s="77"/>
      <c r="Q38" s="79"/>
      <c r="R38" s="79"/>
      <c r="S38" s="79"/>
      <c r="T38" s="77"/>
      <c r="U38" s="79"/>
      <c r="V38" s="77"/>
      <c r="W38" s="77"/>
      <c r="X38" s="77"/>
      <c r="Y38" s="77"/>
      <c r="Z38" s="77"/>
      <c r="AA38" s="79"/>
      <c r="AB38" s="79"/>
      <c r="AC38" s="77"/>
    </row>
    <row r="39" spans="1:29" s="17" customFormat="1" ht="17.25" customHeight="1" x14ac:dyDescent="0.25">
      <c r="A39" s="71"/>
      <c r="B39" s="73"/>
      <c r="C39" s="80"/>
      <c r="D39" s="40">
        <v>271</v>
      </c>
      <c r="E39" s="41" t="s">
        <v>4</v>
      </c>
      <c r="F39" s="43">
        <f>D39/1229</f>
        <v>0.22050447518307567</v>
      </c>
      <c r="G39" s="71"/>
      <c r="H39" s="77"/>
      <c r="I39" s="77"/>
      <c r="J39" s="77"/>
      <c r="K39" s="77"/>
      <c r="L39" s="77"/>
      <c r="M39" s="77"/>
      <c r="N39" s="77"/>
      <c r="O39" s="77"/>
      <c r="P39" s="77"/>
      <c r="Q39" s="80"/>
      <c r="R39" s="80"/>
      <c r="S39" s="80"/>
      <c r="T39" s="77"/>
      <c r="U39" s="80"/>
      <c r="V39" s="77"/>
      <c r="W39" s="77"/>
      <c r="X39" s="77"/>
      <c r="Y39" s="77"/>
      <c r="Z39" s="77"/>
      <c r="AA39" s="80"/>
      <c r="AB39" s="80"/>
      <c r="AC39" s="77"/>
    </row>
    <row r="40" spans="1:29" s="17" customFormat="1" ht="33.75" x14ac:dyDescent="0.25">
      <c r="A40" s="71"/>
      <c r="B40" s="73" t="s">
        <v>40</v>
      </c>
      <c r="C40" s="78">
        <v>136</v>
      </c>
      <c r="D40" s="40">
        <v>266</v>
      </c>
      <c r="E40" s="41" t="s">
        <v>60</v>
      </c>
      <c r="F40" s="43">
        <f>D40/408</f>
        <v>0.65196078431372551</v>
      </c>
      <c r="G40" s="71"/>
      <c r="H40" s="77">
        <v>1778</v>
      </c>
      <c r="I40" s="77">
        <v>2474</v>
      </c>
      <c r="J40" s="77">
        <v>2371</v>
      </c>
      <c r="K40" s="77">
        <v>840</v>
      </c>
      <c r="L40" s="77">
        <v>1593</v>
      </c>
      <c r="M40" s="77">
        <v>623</v>
      </c>
      <c r="N40" s="77">
        <v>3816</v>
      </c>
      <c r="O40" s="77">
        <v>1427</v>
      </c>
      <c r="P40" s="77">
        <v>544</v>
      </c>
      <c r="Q40" s="78">
        <v>2818</v>
      </c>
      <c r="R40" s="78">
        <v>226</v>
      </c>
      <c r="S40" s="78">
        <v>4529</v>
      </c>
      <c r="T40" s="77">
        <v>240</v>
      </c>
      <c r="U40" s="78">
        <v>1149</v>
      </c>
      <c r="V40" s="77">
        <v>90</v>
      </c>
      <c r="W40" s="77">
        <v>2172</v>
      </c>
      <c r="X40" s="77">
        <v>0</v>
      </c>
      <c r="Y40" s="77">
        <v>13</v>
      </c>
      <c r="Z40" s="77">
        <v>35</v>
      </c>
      <c r="AA40" s="78">
        <v>0</v>
      </c>
      <c r="AB40" s="78">
        <v>0</v>
      </c>
      <c r="AC40" s="77">
        <v>0</v>
      </c>
    </row>
    <row r="41" spans="1:29" s="17" customFormat="1" ht="21.75" customHeight="1" x14ac:dyDescent="0.25">
      <c r="A41" s="71"/>
      <c r="B41" s="73"/>
      <c r="C41" s="79"/>
      <c r="D41" s="40">
        <v>17</v>
      </c>
      <c r="E41" s="41" t="s">
        <v>5</v>
      </c>
      <c r="F41" s="43">
        <f>D41/408</f>
        <v>4.1666666666666664E-2</v>
      </c>
      <c r="G41" s="71"/>
      <c r="H41" s="77"/>
      <c r="I41" s="77"/>
      <c r="J41" s="77"/>
      <c r="K41" s="77"/>
      <c r="L41" s="77"/>
      <c r="M41" s="77"/>
      <c r="N41" s="77"/>
      <c r="O41" s="77"/>
      <c r="P41" s="77"/>
      <c r="Q41" s="79"/>
      <c r="R41" s="79"/>
      <c r="S41" s="79"/>
      <c r="T41" s="77"/>
      <c r="U41" s="79"/>
      <c r="V41" s="77"/>
      <c r="W41" s="77"/>
      <c r="X41" s="77"/>
      <c r="Y41" s="77"/>
      <c r="Z41" s="77"/>
      <c r="AA41" s="79"/>
      <c r="AB41" s="79"/>
      <c r="AC41" s="77"/>
    </row>
    <row r="42" spans="1:29" s="17" customFormat="1" ht="11.25" x14ac:dyDescent="0.25">
      <c r="A42" s="71"/>
      <c r="B42" s="73"/>
      <c r="C42" s="79"/>
      <c r="D42" s="40">
        <v>26</v>
      </c>
      <c r="E42" s="41" t="s">
        <v>6</v>
      </c>
      <c r="F42" s="43">
        <f>D42/408</f>
        <v>6.3725490196078427E-2</v>
      </c>
      <c r="G42" s="71"/>
      <c r="H42" s="77"/>
      <c r="I42" s="77"/>
      <c r="J42" s="77"/>
      <c r="K42" s="77"/>
      <c r="L42" s="77"/>
      <c r="M42" s="77"/>
      <c r="N42" s="77"/>
      <c r="O42" s="77"/>
      <c r="P42" s="77"/>
      <c r="Q42" s="79"/>
      <c r="R42" s="79"/>
      <c r="S42" s="79"/>
      <c r="T42" s="77"/>
      <c r="U42" s="79"/>
      <c r="V42" s="77"/>
      <c r="W42" s="77"/>
      <c r="X42" s="77"/>
      <c r="Y42" s="77"/>
      <c r="Z42" s="77"/>
      <c r="AA42" s="79"/>
      <c r="AB42" s="79"/>
      <c r="AC42" s="77"/>
    </row>
    <row r="43" spans="1:29" s="17" customFormat="1" ht="22.5" x14ac:dyDescent="0.25">
      <c r="A43" s="71"/>
      <c r="B43" s="73"/>
      <c r="C43" s="80"/>
      <c r="D43" s="40">
        <v>99</v>
      </c>
      <c r="E43" s="41" t="s">
        <v>4</v>
      </c>
      <c r="F43" s="43">
        <f>D43/408</f>
        <v>0.24264705882352941</v>
      </c>
      <c r="G43" s="71"/>
      <c r="H43" s="77"/>
      <c r="I43" s="77"/>
      <c r="J43" s="77"/>
      <c r="K43" s="77"/>
      <c r="L43" s="77"/>
      <c r="M43" s="77"/>
      <c r="N43" s="77"/>
      <c r="O43" s="77"/>
      <c r="P43" s="77"/>
      <c r="Q43" s="80"/>
      <c r="R43" s="80"/>
      <c r="S43" s="80"/>
      <c r="T43" s="77"/>
      <c r="U43" s="80"/>
      <c r="V43" s="77"/>
      <c r="W43" s="77"/>
      <c r="X43" s="77"/>
      <c r="Y43" s="77"/>
      <c r="Z43" s="77"/>
      <c r="AA43" s="80"/>
      <c r="AB43" s="80"/>
      <c r="AC43" s="77"/>
    </row>
    <row r="44" spans="1:29" s="17" customFormat="1" ht="33.75" x14ac:dyDescent="0.25">
      <c r="A44" s="71"/>
      <c r="B44" s="73" t="s">
        <v>39</v>
      </c>
      <c r="C44" s="78">
        <v>268</v>
      </c>
      <c r="D44" s="40">
        <v>522</v>
      </c>
      <c r="E44" s="41" t="s">
        <v>60</v>
      </c>
      <c r="F44" s="43">
        <f>D44/703</f>
        <v>0.74253200568990041</v>
      </c>
      <c r="G44" s="71"/>
      <c r="H44" s="78">
        <v>9530</v>
      </c>
      <c r="I44" s="78">
        <v>6264</v>
      </c>
      <c r="J44" s="78">
        <v>3987</v>
      </c>
      <c r="K44" s="78">
        <v>2237</v>
      </c>
      <c r="L44" s="78">
        <v>3401</v>
      </c>
      <c r="M44" s="78">
        <v>2225</v>
      </c>
      <c r="N44" s="78">
        <v>8145</v>
      </c>
      <c r="O44" s="78">
        <v>8098</v>
      </c>
      <c r="P44" s="78">
        <v>1465</v>
      </c>
      <c r="Q44" s="78">
        <v>5948</v>
      </c>
      <c r="R44" s="78">
        <v>346</v>
      </c>
      <c r="S44" s="78">
        <v>14363</v>
      </c>
      <c r="T44" s="78">
        <v>0</v>
      </c>
      <c r="U44" s="78">
        <v>840</v>
      </c>
      <c r="V44" s="78">
        <v>1656</v>
      </c>
      <c r="W44" s="77">
        <v>2017</v>
      </c>
      <c r="X44" s="78">
        <v>0</v>
      </c>
      <c r="Y44" s="78">
        <v>25</v>
      </c>
      <c r="Z44" s="78">
        <v>106</v>
      </c>
      <c r="AA44" s="78">
        <v>0</v>
      </c>
      <c r="AB44" s="78">
        <v>0</v>
      </c>
      <c r="AC44" s="78">
        <v>5</v>
      </c>
    </row>
    <row r="45" spans="1:29" s="17" customFormat="1" ht="22.5" x14ac:dyDescent="0.25">
      <c r="A45" s="71"/>
      <c r="B45" s="73"/>
      <c r="C45" s="79"/>
      <c r="D45" s="40">
        <v>12</v>
      </c>
      <c r="E45" s="41" t="s">
        <v>5</v>
      </c>
      <c r="F45" s="43">
        <f>D45/703</f>
        <v>1.7069701280227598E-2</v>
      </c>
      <c r="G45" s="71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7"/>
      <c r="X45" s="79"/>
      <c r="Y45" s="79"/>
      <c r="Z45" s="79"/>
      <c r="AA45" s="79"/>
      <c r="AB45" s="79"/>
      <c r="AC45" s="79"/>
    </row>
    <row r="46" spans="1:29" s="17" customFormat="1" ht="11.25" x14ac:dyDescent="0.25">
      <c r="A46" s="71"/>
      <c r="B46" s="73"/>
      <c r="C46" s="79"/>
      <c r="D46" s="40">
        <v>45</v>
      </c>
      <c r="E46" s="41" t="s">
        <v>6</v>
      </c>
      <c r="F46" s="43">
        <f>D46/703</f>
        <v>6.4011379800853488E-2</v>
      </c>
      <c r="G46" s="71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7"/>
      <c r="X46" s="79"/>
      <c r="Y46" s="79"/>
      <c r="Z46" s="79"/>
      <c r="AA46" s="79"/>
      <c r="AB46" s="79"/>
      <c r="AC46" s="79"/>
    </row>
    <row r="47" spans="1:29" s="17" customFormat="1" ht="26.25" customHeight="1" x14ac:dyDescent="0.25">
      <c r="A47" s="72"/>
      <c r="B47" s="73"/>
      <c r="C47" s="80"/>
      <c r="D47" s="40">
        <v>124</v>
      </c>
      <c r="E47" s="41" t="s">
        <v>4</v>
      </c>
      <c r="F47" s="43">
        <f>D47/703</f>
        <v>0.1763869132290185</v>
      </c>
      <c r="G47" s="72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77"/>
      <c r="X47" s="80"/>
      <c r="Y47" s="80"/>
      <c r="Z47" s="80"/>
      <c r="AA47" s="80"/>
      <c r="AB47" s="80"/>
      <c r="AC47" s="80"/>
    </row>
    <row r="48" spans="1:29" ht="25.5" customHeight="1" x14ac:dyDescent="0.25">
      <c r="A48" s="73" t="s">
        <v>41</v>
      </c>
      <c r="B48" s="73"/>
      <c r="C48" s="73"/>
      <c r="D48" s="73"/>
      <c r="E48" s="73"/>
      <c r="F48" s="73"/>
      <c r="G48" s="73"/>
      <c r="H48" s="7">
        <f>SUM(H4:H47)</f>
        <v>68841</v>
      </c>
      <c r="I48" s="7">
        <f t="shared" ref="I48:AC48" si="0">SUM(I4:I47)</f>
        <v>55210</v>
      </c>
      <c r="J48" s="7">
        <f t="shared" si="0"/>
        <v>49771</v>
      </c>
      <c r="K48" s="7">
        <f t="shared" si="0"/>
        <v>22075</v>
      </c>
      <c r="L48" s="7">
        <f t="shared" si="0"/>
        <v>33977</v>
      </c>
      <c r="M48" s="7">
        <f t="shared" si="0"/>
        <v>20306</v>
      </c>
      <c r="N48" s="7">
        <f t="shared" si="0"/>
        <v>57648</v>
      </c>
      <c r="O48" s="7">
        <f t="shared" si="0"/>
        <v>49983</v>
      </c>
      <c r="P48" s="7">
        <f t="shared" si="0"/>
        <v>14977</v>
      </c>
      <c r="Q48" s="7">
        <f t="shared" si="0"/>
        <v>54518</v>
      </c>
      <c r="R48" s="7">
        <f t="shared" si="0"/>
        <v>2759</v>
      </c>
      <c r="S48" s="7">
        <f t="shared" si="0"/>
        <v>103969</v>
      </c>
      <c r="T48" s="7">
        <f t="shared" si="0"/>
        <v>930</v>
      </c>
      <c r="U48" s="7">
        <f t="shared" si="0"/>
        <v>11895</v>
      </c>
      <c r="V48" s="7">
        <f t="shared" si="0"/>
        <v>3424</v>
      </c>
      <c r="W48" s="7">
        <f t="shared" si="0"/>
        <v>21555</v>
      </c>
      <c r="X48" s="7">
        <f t="shared" si="0"/>
        <v>464</v>
      </c>
      <c r="Y48" s="7">
        <f t="shared" si="0"/>
        <v>387</v>
      </c>
      <c r="Z48" s="7">
        <f t="shared" si="0"/>
        <v>795</v>
      </c>
      <c r="AA48" s="7">
        <f t="shared" si="0"/>
        <v>46</v>
      </c>
      <c r="AB48" s="7">
        <f t="shared" si="0"/>
        <v>10</v>
      </c>
      <c r="AC48" s="7">
        <f t="shared" si="0"/>
        <v>163</v>
      </c>
    </row>
    <row r="49" spans="1:29" ht="27" customHeight="1" x14ac:dyDescent="0.15">
      <c r="A49" s="73" t="s">
        <v>42</v>
      </c>
      <c r="B49" s="73"/>
      <c r="C49" s="73"/>
      <c r="D49" s="73"/>
      <c r="E49" s="73"/>
      <c r="F49" s="73"/>
      <c r="G49" s="73"/>
      <c r="H49" s="18">
        <v>6.4500000000000002E-2</v>
      </c>
      <c r="I49" s="18">
        <v>5.8500000000000003E-2</v>
      </c>
      <c r="J49" s="19">
        <v>0.10717999</v>
      </c>
      <c r="K49" s="20">
        <v>6.6000000000000003E-2</v>
      </c>
      <c r="L49" s="20">
        <v>4.8000000000000001E-2</v>
      </c>
      <c r="M49" s="21">
        <v>0.03</v>
      </c>
      <c r="N49" s="22">
        <v>0.09</v>
      </c>
      <c r="O49" s="22">
        <v>0.23499999999999999</v>
      </c>
      <c r="P49" s="23">
        <v>0.1034559</v>
      </c>
      <c r="Q49" s="18">
        <v>0.1205</v>
      </c>
      <c r="R49" s="8">
        <v>0.188</v>
      </c>
      <c r="S49" s="20">
        <v>9.7000000000000003E-2</v>
      </c>
      <c r="T49" s="24">
        <v>8.9969999999999994E-2</v>
      </c>
      <c r="U49" s="22">
        <v>0.22</v>
      </c>
      <c r="V49" s="22">
        <v>0.12</v>
      </c>
      <c r="W49" s="25">
        <v>4.6399999999999997E-2</v>
      </c>
      <c r="X49" s="22">
        <v>3.27</v>
      </c>
      <c r="Y49" s="22">
        <v>4.8600000000000003</v>
      </c>
      <c r="Z49" s="22">
        <v>11.52</v>
      </c>
      <c r="AA49" s="22">
        <v>2.21</v>
      </c>
      <c r="AB49" s="26">
        <v>73.87</v>
      </c>
      <c r="AC49" s="22">
        <v>0.52</v>
      </c>
    </row>
    <row r="50" spans="1:29" ht="24" customHeight="1" x14ac:dyDescent="0.25">
      <c r="A50" s="73" t="s">
        <v>43</v>
      </c>
      <c r="B50" s="73"/>
      <c r="C50" s="73"/>
      <c r="D50" s="73"/>
      <c r="E50" s="73"/>
      <c r="F50" s="73"/>
      <c r="G50" s="73"/>
      <c r="H50" s="16">
        <f>H48*H49</f>
        <v>4440.2444999999998</v>
      </c>
      <c r="I50" s="16">
        <f t="shared" ref="I50:AC50" si="1">I48*I49</f>
        <v>3229.7850000000003</v>
      </c>
      <c r="J50" s="16">
        <f t="shared" si="1"/>
        <v>5334.4552822900005</v>
      </c>
      <c r="K50" s="16">
        <f t="shared" si="1"/>
        <v>1456.95</v>
      </c>
      <c r="L50" s="16">
        <f t="shared" si="1"/>
        <v>1630.896</v>
      </c>
      <c r="M50" s="16">
        <f t="shared" si="1"/>
        <v>609.17999999999995</v>
      </c>
      <c r="N50" s="16">
        <f t="shared" si="1"/>
        <v>5188.32</v>
      </c>
      <c r="O50" s="16">
        <f t="shared" si="1"/>
        <v>11746.004999999999</v>
      </c>
      <c r="P50" s="16">
        <f t="shared" si="1"/>
        <v>1549.4590143</v>
      </c>
      <c r="Q50" s="16">
        <f t="shared" si="1"/>
        <v>6569.4189999999999</v>
      </c>
      <c r="R50" s="16">
        <f t="shared" si="1"/>
        <v>518.69200000000001</v>
      </c>
      <c r="S50" s="16">
        <f t="shared" si="1"/>
        <v>10084.993</v>
      </c>
      <c r="T50" s="16">
        <f t="shared" si="1"/>
        <v>83.6721</v>
      </c>
      <c r="U50" s="16">
        <f t="shared" si="1"/>
        <v>2616.9</v>
      </c>
      <c r="V50" s="16">
        <f t="shared" si="1"/>
        <v>410.88</v>
      </c>
      <c r="W50" s="16">
        <f t="shared" si="1"/>
        <v>1000.1519999999999</v>
      </c>
      <c r="X50" s="16">
        <f t="shared" si="1"/>
        <v>1517.28</v>
      </c>
      <c r="Y50" s="16">
        <f t="shared" si="1"/>
        <v>1880.8200000000002</v>
      </c>
      <c r="Z50" s="16">
        <f t="shared" si="1"/>
        <v>9158.4</v>
      </c>
      <c r="AA50" s="16">
        <f t="shared" si="1"/>
        <v>101.66</v>
      </c>
      <c r="AB50" s="16">
        <f t="shared" si="1"/>
        <v>738.7</v>
      </c>
      <c r="AC50" s="16">
        <f t="shared" si="1"/>
        <v>84.76</v>
      </c>
    </row>
    <row r="51" spans="1:29" ht="20.25" customHeight="1" x14ac:dyDescent="0.25">
      <c r="A51" s="73" t="s">
        <v>44</v>
      </c>
      <c r="B51" s="73"/>
      <c r="C51" s="73"/>
      <c r="D51" s="73"/>
      <c r="E51" s="73"/>
      <c r="F51" s="73"/>
      <c r="G51" s="73"/>
      <c r="H51" s="90">
        <f>H50+I50+J50+K50+L50+M50+N50+O50+P50+Q50+R50+S50+T50+U50+V50+W50+X50+Y50+Z50+AA50+AB50+AC50</f>
        <v>69951.622896590008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</row>
    <row r="52" spans="1:29" ht="22.5" customHeight="1" x14ac:dyDescent="0.25">
      <c r="A52" s="73" t="s">
        <v>45</v>
      </c>
      <c r="B52" s="73"/>
      <c r="C52" s="73"/>
      <c r="D52" s="73"/>
      <c r="E52" s="73"/>
      <c r="F52" s="73"/>
      <c r="G52" s="73"/>
      <c r="H52" s="106" t="s">
        <v>3</v>
      </c>
      <c r="I52" s="107"/>
      <c r="J52" s="107"/>
      <c r="K52" s="107"/>
      <c r="L52" s="107"/>
      <c r="M52" s="107"/>
      <c r="N52" s="107"/>
      <c r="O52" s="107"/>
      <c r="P52" s="107"/>
      <c r="Q52" s="107"/>
      <c r="R52" s="93"/>
      <c r="S52" s="73" t="s">
        <v>4</v>
      </c>
      <c r="T52" s="73"/>
      <c r="U52" s="73"/>
      <c r="V52" s="73" t="s">
        <v>5</v>
      </c>
      <c r="W52" s="73"/>
      <c r="X52" s="73" t="s">
        <v>6</v>
      </c>
      <c r="Y52" s="73"/>
      <c r="Z52" s="73"/>
      <c r="AA52" s="73"/>
      <c r="AB52" s="73"/>
      <c r="AC52" s="73"/>
    </row>
    <row r="53" spans="1:29" ht="29.25" customHeight="1" x14ac:dyDescent="0.25">
      <c r="A53" s="73"/>
      <c r="B53" s="73"/>
      <c r="C53" s="73"/>
      <c r="D53" s="73"/>
      <c r="E53" s="73"/>
      <c r="F53" s="73"/>
      <c r="G53" s="73"/>
      <c r="H53" s="108">
        <f>H50+I50+J50+K50+L50+M50+N50+O50+P50+Q50+R50</f>
        <v>42273.405796590007</v>
      </c>
      <c r="I53" s="109"/>
      <c r="J53" s="109"/>
      <c r="K53" s="109"/>
      <c r="L53" s="109"/>
      <c r="M53" s="109"/>
      <c r="N53" s="109"/>
      <c r="O53" s="109"/>
      <c r="P53" s="109"/>
      <c r="Q53" s="109"/>
      <c r="R53" s="110"/>
      <c r="S53" s="94">
        <f>S50+T50+U50</f>
        <v>12785.5651</v>
      </c>
      <c r="T53" s="95"/>
      <c r="U53" s="96"/>
      <c r="V53" s="91">
        <f>V50+W50</f>
        <v>1411.0319999999999</v>
      </c>
      <c r="W53" s="91"/>
      <c r="X53" s="90">
        <f>X50+Y50+Z50+AA50+AB50+AC50</f>
        <v>13481.62</v>
      </c>
      <c r="Y53" s="90"/>
      <c r="Z53" s="90"/>
      <c r="AA53" s="90"/>
      <c r="AB53" s="90"/>
      <c r="AC53" s="90"/>
    </row>
    <row r="54" spans="1:29" ht="34.5" customHeight="1" x14ac:dyDescent="0.25">
      <c r="A54" s="73" t="s">
        <v>46</v>
      </c>
      <c r="B54" s="73"/>
      <c r="C54" s="73"/>
      <c r="D54" s="73"/>
      <c r="E54" s="73"/>
      <c r="F54" s="73"/>
      <c r="G54" s="73"/>
      <c r="H54" s="108">
        <v>2184600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10"/>
      <c r="S54" s="92">
        <v>590000</v>
      </c>
      <c r="T54" s="92"/>
      <c r="U54" s="92"/>
      <c r="V54" s="91">
        <v>50000</v>
      </c>
      <c r="W54" s="91"/>
      <c r="X54" s="91">
        <v>620700</v>
      </c>
      <c r="Y54" s="91"/>
      <c r="Z54" s="91"/>
      <c r="AA54" s="91"/>
      <c r="AB54" s="91"/>
      <c r="AC54" s="91"/>
    </row>
    <row r="59" spans="1:29" ht="22.5" customHeight="1" x14ac:dyDescent="0.25">
      <c r="B59" s="88" t="s">
        <v>47</v>
      </c>
      <c r="C59" s="88"/>
    </row>
    <row r="60" spans="1:29" x14ac:dyDescent="0.25">
      <c r="A60" s="1">
        <v>1</v>
      </c>
      <c r="B60" s="89" t="s">
        <v>48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</row>
    <row r="61" spans="1:29" ht="30.75" customHeight="1" x14ac:dyDescent="0.25">
      <c r="A61" s="1">
        <v>2</v>
      </c>
      <c r="B61" s="89" t="s">
        <v>49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1:29" x14ac:dyDescent="0.25">
      <c r="A62" s="1">
        <v>3</v>
      </c>
      <c r="B62" s="89" t="s">
        <v>50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</sheetData>
  <mergeCells count="299">
    <mergeCell ref="E1:E3"/>
    <mergeCell ref="F1:F3"/>
    <mergeCell ref="B1:D2"/>
    <mergeCell ref="R12:R15"/>
    <mergeCell ref="H52:R52"/>
    <mergeCell ref="H53:R53"/>
    <mergeCell ref="H54:R54"/>
    <mergeCell ref="A1:A3"/>
    <mergeCell ref="G1:G3"/>
    <mergeCell ref="H1:AC1"/>
    <mergeCell ref="S2:U2"/>
    <mergeCell ref="V2:W2"/>
    <mergeCell ref="X2:AC2"/>
    <mergeCell ref="R24:R27"/>
    <mergeCell ref="R28:R31"/>
    <mergeCell ref="AB24:AB27"/>
    <mergeCell ref="AB28:AB31"/>
    <mergeCell ref="J4:J7"/>
    <mergeCell ref="K4:K7"/>
    <mergeCell ref="L4:L7"/>
    <mergeCell ref="M4:M7"/>
    <mergeCell ref="N4:N7"/>
    <mergeCell ref="O4:O7"/>
    <mergeCell ref="A4:A47"/>
    <mergeCell ref="B4:B7"/>
    <mergeCell ref="C4:C7"/>
    <mergeCell ref="G4:G47"/>
    <mergeCell ref="H4:H7"/>
    <mergeCell ref="I4:I7"/>
    <mergeCell ref="B8:B11"/>
    <mergeCell ref="C8:C11"/>
    <mergeCell ref="H8:H11"/>
    <mergeCell ref="I8:I11"/>
    <mergeCell ref="H12:H15"/>
    <mergeCell ref="I12:I15"/>
    <mergeCell ref="B20:B23"/>
    <mergeCell ref="C20:C23"/>
    <mergeCell ref="H20:H23"/>
    <mergeCell ref="I20:I23"/>
    <mergeCell ref="C24:C27"/>
    <mergeCell ref="H24:H27"/>
    <mergeCell ref="I24:I27"/>
    <mergeCell ref="B28:B31"/>
    <mergeCell ref="C28:C31"/>
    <mergeCell ref="H28:H31"/>
    <mergeCell ref="I28:I31"/>
    <mergeCell ref="B36:B39"/>
    <mergeCell ref="C36:C39"/>
    <mergeCell ref="W4:W7"/>
    <mergeCell ref="X4:X7"/>
    <mergeCell ref="Y4:Y7"/>
    <mergeCell ref="Z4:Z7"/>
    <mergeCell ref="AA4:AA7"/>
    <mergeCell ref="AC4:AC7"/>
    <mergeCell ref="P4:P7"/>
    <mergeCell ref="Q4:Q7"/>
    <mergeCell ref="S4:S7"/>
    <mergeCell ref="T4:T7"/>
    <mergeCell ref="U4:U7"/>
    <mergeCell ref="V4:V7"/>
    <mergeCell ref="AC8:AC11"/>
    <mergeCell ref="AB8:AB11"/>
    <mergeCell ref="P8:P11"/>
    <mergeCell ref="Q8:Q11"/>
    <mergeCell ref="S8:S11"/>
    <mergeCell ref="T8:T11"/>
    <mergeCell ref="U8:U11"/>
    <mergeCell ref="V8:V11"/>
    <mergeCell ref="J8:J11"/>
    <mergeCell ref="K8:K11"/>
    <mergeCell ref="L8:L11"/>
    <mergeCell ref="M8:M11"/>
    <mergeCell ref="N8:N11"/>
    <mergeCell ref="O8:O11"/>
    <mergeCell ref="Q12:Q15"/>
    <mergeCell ref="B12:B15"/>
    <mergeCell ref="C12:C15"/>
    <mergeCell ref="Y16:Y19"/>
    <mergeCell ref="Z16:Z19"/>
    <mergeCell ref="AA16:AA19"/>
    <mergeCell ref="J12:J15"/>
    <mergeCell ref="K12:K15"/>
    <mergeCell ref="W8:W11"/>
    <mergeCell ref="X8:X11"/>
    <mergeCell ref="Y8:Y11"/>
    <mergeCell ref="Z8:Z11"/>
    <mergeCell ref="AA8:AA11"/>
    <mergeCell ref="Y12:Y15"/>
    <mergeCell ref="Z12:Z15"/>
    <mergeCell ref="AA12:AA15"/>
    <mergeCell ref="L16:L19"/>
    <mergeCell ref="M16:M19"/>
    <mergeCell ref="N16:N19"/>
    <mergeCell ref="O16:O19"/>
    <mergeCell ref="P16:P19"/>
    <mergeCell ref="Q16:Q19"/>
    <mergeCell ref="AC12:AC15"/>
    <mergeCell ref="B16:B19"/>
    <mergeCell ref="C16:C19"/>
    <mergeCell ref="H16:H19"/>
    <mergeCell ref="I16:I19"/>
    <mergeCell ref="J16:J19"/>
    <mergeCell ref="K16:K19"/>
    <mergeCell ref="S12:S15"/>
    <mergeCell ref="T12:T15"/>
    <mergeCell ref="U12:U15"/>
    <mergeCell ref="V12:V15"/>
    <mergeCell ref="W12:W15"/>
    <mergeCell ref="X12:X15"/>
    <mergeCell ref="L12:L15"/>
    <mergeCell ref="M12:M15"/>
    <mergeCell ref="N12:N15"/>
    <mergeCell ref="O12:O15"/>
    <mergeCell ref="P12:P15"/>
    <mergeCell ref="L20:L23"/>
    <mergeCell ref="M20:M23"/>
    <mergeCell ref="N20:N23"/>
    <mergeCell ref="O20:O23"/>
    <mergeCell ref="P20:P23"/>
    <mergeCell ref="Q20:Q23"/>
    <mergeCell ref="AA24:AA27"/>
    <mergeCell ref="AC24:AC27"/>
    <mergeCell ref="J20:J23"/>
    <mergeCell ref="K20:K23"/>
    <mergeCell ref="S20:S23"/>
    <mergeCell ref="T20:T23"/>
    <mergeCell ref="U20:U23"/>
    <mergeCell ref="AC16:AC19"/>
    <mergeCell ref="V16:V19"/>
    <mergeCell ref="W16:W19"/>
    <mergeCell ref="X16:X19"/>
    <mergeCell ref="Y20:Y23"/>
    <mergeCell ref="Z20:Z23"/>
    <mergeCell ref="AA20:AA23"/>
    <mergeCell ref="AC20:AC23"/>
    <mergeCell ref="V20:V23"/>
    <mergeCell ref="W20:W23"/>
    <mergeCell ref="X20:X23"/>
    <mergeCell ref="S16:S19"/>
    <mergeCell ref="T16:T19"/>
    <mergeCell ref="U16:U19"/>
    <mergeCell ref="J28:J31"/>
    <mergeCell ref="K28:K31"/>
    <mergeCell ref="S24:S27"/>
    <mergeCell ref="T24:T27"/>
    <mergeCell ref="U24:U27"/>
    <mergeCell ref="V24:V27"/>
    <mergeCell ref="W24:W27"/>
    <mergeCell ref="X24:X27"/>
    <mergeCell ref="L24:L27"/>
    <mergeCell ref="M24:M27"/>
    <mergeCell ref="N24:N27"/>
    <mergeCell ref="O24:O27"/>
    <mergeCell ref="P24:P27"/>
    <mergeCell ref="Q24:Q27"/>
    <mergeCell ref="J24:J27"/>
    <mergeCell ref="K24:K27"/>
    <mergeCell ref="AC28:AC31"/>
    <mergeCell ref="V28:V31"/>
    <mergeCell ref="W28:W31"/>
    <mergeCell ref="X28:X31"/>
    <mergeCell ref="B24:B27"/>
    <mergeCell ref="B32:B35"/>
    <mergeCell ref="C32:C35"/>
    <mergeCell ref="H32:H35"/>
    <mergeCell ref="I32:I35"/>
    <mergeCell ref="J32:J35"/>
    <mergeCell ref="K32:K35"/>
    <mergeCell ref="S28:S31"/>
    <mergeCell ref="T28:T31"/>
    <mergeCell ref="U28:U31"/>
    <mergeCell ref="L28:L31"/>
    <mergeCell ref="M28:M31"/>
    <mergeCell ref="N28:N31"/>
    <mergeCell ref="O28:O31"/>
    <mergeCell ref="P28:P31"/>
    <mergeCell ref="Q28:Q31"/>
    <mergeCell ref="R32:R35"/>
    <mergeCell ref="AB32:AB35"/>
    <mergeCell ref="AC32:AC35"/>
    <mergeCell ref="X32:X35"/>
    <mergeCell ref="H36:H39"/>
    <mergeCell ref="I36:I39"/>
    <mergeCell ref="J36:J39"/>
    <mergeCell ref="K36:K39"/>
    <mergeCell ref="S32:S35"/>
    <mergeCell ref="T32:T35"/>
    <mergeCell ref="U32:U35"/>
    <mergeCell ref="V32:V35"/>
    <mergeCell ref="W32:W35"/>
    <mergeCell ref="L32:L35"/>
    <mergeCell ref="M32:M35"/>
    <mergeCell ref="N32:N35"/>
    <mergeCell ref="O32:O35"/>
    <mergeCell ref="P32:P35"/>
    <mergeCell ref="Q32:Q35"/>
    <mergeCell ref="AC36:AC39"/>
    <mergeCell ref="V36:V39"/>
    <mergeCell ref="W36:W39"/>
    <mergeCell ref="X36:X39"/>
    <mergeCell ref="B40:B43"/>
    <mergeCell ref="C40:C43"/>
    <mergeCell ref="H40:H43"/>
    <mergeCell ref="I40:I43"/>
    <mergeCell ref="J40:J43"/>
    <mergeCell ref="K40:K43"/>
    <mergeCell ref="L40:L43"/>
    <mergeCell ref="T36:T39"/>
    <mergeCell ref="U36:U39"/>
    <mergeCell ref="P40:P43"/>
    <mergeCell ref="Q40:Q43"/>
    <mergeCell ref="S40:S43"/>
    <mergeCell ref="R40:R43"/>
    <mergeCell ref="Y36:Y39"/>
    <mergeCell ref="L36:L39"/>
    <mergeCell ref="M36:M39"/>
    <mergeCell ref="N36:N39"/>
    <mergeCell ref="O36:O39"/>
    <mergeCell ref="P36:P39"/>
    <mergeCell ref="S36:S39"/>
    <mergeCell ref="AC40:AC43"/>
    <mergeCell ref="B44:B47"/>
    <mergeCell ref="C44:C47"/>
    <mergeCell ref="H44:H47"/>
    <mergeCell ref="I44:I47"/>
    <mergeCell ref="J44:J47"/>
    <mergeCell ref="K44:K47"/>
    <mergeCell ref="L44:L47"/>
    <mergeCell ref="T40:T43"/>
    <mergeCell ref="U40:U43"/>
    <mergeCell ref="V40:V43"/>
    <mergeCell ref="W40:W43"/>
    <mergeCell ref="X40:X43"/>
    <mergeCell ref="Y40:Y43"/>
    <mergeCell ref="M40:M43"/>
    <mergeCell ref="N40:N43"/>
    <mergeCell ref="O40:O43"/>
    <mergeCell ref="A50:G50"/>
    <mergeCell ref="AB44:AB47"/>
    <mergeCell ref="T44:T47"/>
    <mergeCell ref="U44:U47"/>
    <mergeCell ref="V44:V47"/>
    <mergeCell ref="W44:W47"/>
    <mergeCell ref="X44:X47"/>
    <mergeCell ref="Y44:Y47"/>
    <mergeCell ref="M44:M47"/>
    <mergeCell ref="N44:N47"/>
    <mergeCell ref="O44:O47"/>
    <mergeCell ref="P44:P47"/>
    <mergeCell ref="Q44:Q47"/>
    <mergeCell ref="S44:S47"/>
    <mergeCell ref="B60:P60"/>
    <mergeCell ref="B61:M61"/>
    <mergeCell ref="B62:M62"/>
    <mergeCell ref="AB20:AB23"/>
    <mergeCell ref="AB16:AB19"/>
    <mergeCell ref="Q36:Q39"/>
    <mergeCell ref="AB36:AB39"/>
    <mergeCell ref="R36:R39"/>
    <mergeCell ref="R44:R47"/>
    <mergeCell ref="X53:AC53"/>
    <mergeCell ref="A54:G54"/>
    <mergeCell ref="S54:U54"/>
    <mergeCell ref="V54:W54"/>
    <mergeCell ref="X54:AC54"/>
    <mergeCell ref="A51:G51"/>
    <mergeCell ref="H51:AC51"/>
    <mergeCell ref="A52:G53"/>
    <mergeCell ref="S52:U52"/>
    <mergeCell ref="V52:W52"/>
    <mergeCell ref="X52:AC52"/>
    <mergeCell ref="S53:U53"/>
    <mergeCell ref="AB40:AB43"/>
    <mergeCell ref="R16:R19"/>
    <mergeCell ref="AC44:AC47"/>
    <mergeCell ref="AB12:AB15"/>
    <mergeCell ref="H2:R2"/>
    <mergeCell ref="R20:R23"/>
    <mergeCell ref="R8:R11"/>
    <mergeCell ref="R4:R7"/>
    <mergeCell ref="AB4:AB7"/>
    <mergeCell ref="B59:C59"/>
    <mergeCell ref="V53:W53"/>
    <mergeCell ref="Z44:Z47"/>
    <mergeCell ref="AA44:AA47"/>
    <mergeCell ref="Z40:Z43"/>
    <mergeCell ref="AA40:AA43"/>
    <mergeCell ref="Z36:Z39"/>
    <mergeCell ref="AA36:AA39"/>
    <mergeCell ref="Y32:Y35"/>
    <mergeCell ref="Z32:Z35"/>
    <mergeCell ref="AA32:AA35"/>
    <mergeCell ref="Y28:Y31"/>
    <mergeCell ref="Z28:Z31"/>
    <mergeCell ref="AA28:AA31"/>
    <mergeCell ref="Y24:Y27"/>
    <mergeCell ref="Z24:Z27"/>
    <mergeCell ref="A48:G48"/>
    <mergeCell ref="A49:G49"/>
  </mergeCells>
  <pageMargins left="0.25" right="0.25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AE62"/>
  <sheetViews>
    <sheetView topLeftCell="A49" workbookViewId="0">
      <selection activeCell="G68" sqref="G68"/>
    </sheetView>
  </sheetViews>
  <sheetFormatPr defaultColWidth="8" defaultRowHeight="9" x14ac:dyDescent="0.25"/>
  <cols>
    <col min="1" max="1" width="5.7109375" style="28" customWidth="1"/>
    <col min="2" max="6" width="8" style="28"/>
    <col min="7" max="7" width="5.85546875" style="28" customWidth="1"/>
    <col min="8" max="18" width="8" style="28"/>
    <col min="19" max="19" width="9.5703125" style="28" customWidth="1"/>
    <col min="20" max="28" width="8" style="28"/>
    <col min="29" max="30" width="6.7109375" style="28" customWidth="1"/>
    <col min="31" max="31" width="6.28515625" style="28" customWidth="1"/>
    <col min="32" max="16384" width="8" style="28"/>
  </cols>
  <sheetData>
    <row r="1" spans="1:31" ht="45.75" customHeight="1" x14ac:dyDescent="0.25">
      <c r="A1" s="52" t="s">
        <v>0</v>
      </c>
      <c r="B1" s="84" t="s">
        <v>1</v>
      </c>
      <c r="C1" s="85"/>
      <c r="D1" s="86"/>
      <c r="E1" s="116" t="s">
        <v>58</v>
      </c>
      <c r="F1" s="111" t="s">
        <v>57</v>
      </c>
      <c r="G1" s="111" t="s">
        <v>2</v>
      </c>
      <c r="H1" s="56" t="s">
        <v>51</v>
      </c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spans="1:31" ht="45.75" customHeight="1" x14ac:dyDescent="0.25">
      <c r="A2" s="52"/>
      <c r="B2" s="56"/>
      <c r="C2" s="57"/>
      <c r="D2" s="87"/>
      <c r="E2" s="117"/>
      <c r="F2" s="112"/>
      <c r="G2" s="112"/>
      <c r="H2" s="100" t="s">
        <v>3</v>
      </c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2"/>
      <c r="U2" s="59" t="s">
        <v>4</v>
      </c>
      <c r="V2" s="60"/>
      <c r="W2" s="60"/>
      <c r="X2" s="61" t="s">
        <v>5</v>
      </c>
      <c r="Y2" s="62"/>
      <c r="Z2" s="63" t="s">
        <v>6</v>
      </c>
      <c r="AA2" s="64"/>
      <c r="AB2" s="64"/>
      <c r="AC2" s="64"/>
      <c r="AD2" s="64"/>
      <c r="AE2" s="65"/>
    </row>
    <row r="3" spans="1:31" ht="152.25" customHeight="1" x14ac:dyDescent="0.25">
      <c r="A3" s="52"/>
      <c r="B3" s="35" t="s">
        <v>7</v>
      </c>
      <c r="C3" s="35" t="s">
        <v>8</v>
      </c>
      <c r="D3" s="36" t="s">
        <v>59</v>
      </c>
      <c r="E3" s="118"/>
      <c r="F3" s="113"/>
      <c r="G3" s="113"/>
      <c r="H3" s="33" t="s">
        <v>9</v>
      </c>
      <c r="I3" s="33" t="s">
        <v>10</v>
      </c>
      <c r="J3" s="33" t="s">
        <v>11</v>
      </c>
      <c r="K3" s="33" t="s">
        <v>12</v>
      </c>
      <c r="L3" s="33" t="s">
        <v>13</v>
      </c>
      <c r="M3" s="33" t="s">
        <v>14</v>
      </c>
      <c r="N3" s="33" t="s">
        <v>15</v>
      </c>
      <c r="O3" s="33" t="s">
        <v>16</v>
      </c>
      <c r="P3" s="33" t="s">
        <v>17</v>
      </c>
      <c r="Q3" s="33" t="s">
        <v>18</v>
      </c>
      <c r="R3" s="33" t="s">
        <v>55</v>
      </c>
      <c r="S3" s="33" t="s">
        <v>56</v>
      </c>
      <c r="T3" s="33" t="s">
        <v>53</v>
      </c>
      <c r="U3" s="4" t="s">
        <v>19</v>
      </c>
      <c r="V3" s="4" t="s">
        <v>20</v>
      </c>
      <c r="W3" s="4" t="s">
        <v>21</v>
      </c>
      <c r="X3" s="5" t="s">
        <v>22</v>
      </c>
      <c r="Y3" s="5" t="s">
        <v>23</v>
      </c>
      <c r="Z3" s="6" t="s">
        <v>24</v>
      </c>
      <c r="AA3" s="6" t="s">
        <v>25</v>
      </c>
      <c r="AB3" s="6" t="s">
        <v>26</v>
      </c>
      <c r="AC3" s="6" t="s">
        <v>27</v>
      </c>
      <c r="AD3" s="6" t="s">
        <v>52</v>
      </c>
      <c r="AE3" s="6" t="s">
        <v>28</v>
      </c>
    </row>
    <row r="4" spans="1:31" s="17" customFormat="1" ht="22.5" customHeight="1" x14ac:dyDescent="0.25">
      <c r="A4" s="70">
        <v>1516</v>
      </c>
      <c r="B4" s="77" t="s">
        <v>29</v>
      </c>
      <c r="C4" s="78">
        <v>284</v>
      </c>
      <c r="D4" s="45">
        <v>477</v>
      </c>
      <c r="E4" s="41" t="s">
        <v>60</v>
      </c>
      <c r="F4" s="42">
        <f>D4/742</f>
        <v>0.6428571428571429</v>
      </c>
      <c r="G4" s="37"/>
      <c r="H4" s="66">
        <v>6624</v>
      </c>
      <c r="I4" s="66">
        <v>4094</v>
      </c>
      <c r="J4" s="66">
        <v>10348</v>
      </c>
      <c r="K4" s="66">
        <v>2254</v>
      </c>
      <c r="L4" s="66">
        <v>4325</v>
      </c>
      <c r="M4" s="66">
        <v>2014</v>
      </c>
      <c r="N4" s="66">
        <v>8892</v>
      </c>
      <c r="O4" s="67">
        <v>4410</v>
      </c>
      <c r="P4" s="66">
        <v>1126</v>
      </c>
      <c r="Q4" s="66">
        <v>5290</v>
      </c>
      <c r="R4" s="67">
        <v>1312</v>
      </c>
      <c r="S4" s="67">
        <v>5980</v>
      </c>
      <c r="T4" s="67">
        <v>767</v>
      </c>
      <c r="U4" s="67">
        <v>16237</v>
      </c>
      <c r="V4" s="66">
        <v>24</v>
      </c>
      <c r="W4" s="67">
        <v>11</v>
      </c>
      <c r="X4" s="66">
        <v>644</v>
      </c>
      <c r="Y4" s="66">
        <v>13854</v>
      </c>
      <c r="Z4" s="66">
        <v>0</v>
      </c>
      <c r="AA4" s="66">
        <v>55</v>
      </c>
      <c r="AB4" s="66">
        <v>155</v>
      </c>
      <c r="AC4" s="67">
        <v>0</v>
      </c>
      <c r="AD4" s="67">
        <v>13</v>
      </c>
      <c r="AE4" s="66">
        <v>10</v>
      </c>
    </row>
    <row r="5" spans="1:31" s="17" customFormat="1" ht="24.75" customHeight="1" x14ac:dyDescent="0.25">
      <c r="A5" s="71"/>
      <c r="B5" s="77"/>
      <c r="C5" s="79"/>
      <c r="D5" s="45">
        <v>46</v>
      </c>
      <c r="E5" s="41" t="s">
        <v>5</v>
      </c>
      <c r="F5" s="42">
        <f>D5/742</f>
        <v>6.1994609164420483E-2</v>
      </c>
      <c r="G5" s="38"/>
      <c r="H5" s="66"/>
      <c r="I5" s="66"/>
      <c r="J5" s="66"/>
      <c r="K5" s="66"/>
      <c r="L5" s="66"/>
      <c r="M5" s="66"/>
      <c r="N5" s="66"/>
      <c r="O5" s="68"/>
      <c r="P5" s="66"/>
      <c r="Q5" s="66"/>
      <c r="R5" s="68"/>
      <c r="S5" s="68"/>
      <c r="T5" s="68"/>
      <c r="U5" s="68"/>
      <c r="V5" s="66"/>
      <c r="W5" s="68"/>
      <c r="X5" s="66"/>
      <c r="Y5" s="66"/>
      <c r="Z5" s="66"/>
      <c r="AA5" s="66"/>
      <c r="AB5" s="66"/>
      <c r="AC5" s="68"/>
      <c r="AD5" s="68"/>
      <c r="AE5" s="66"/>
    </row>
    <row r="6" spans="1:31" s="17" customFormat="1" ht="11.25" x14ac:dyDescent="0.25">
      <c r="A6" s="71"/>
      <c r="B6" s="77"/>
      <c r="C6" s="79"/>
      <c r="D6" s="45">
        <v>57</v>
      </c>
      <c r="E6" s="41" t="s">
        <v>6</v>
      </c>
      <c r="F6" s="42">
        <f>D6/742</f>
        <v>7.681940700808626E-2</v>
      </c>
      <c r="G6" s="38"/>
      <c r="H6" s="66"/>
      <c r="I6" s="66"/>
      <c r="J6" s="66"/>
      <c r="K6" s="66"/>
      <c r="L6" s="66"/>
      <c r="M6" s="66"/>
      <c r="N6" s="66"/>
      <c r="O6" s="68"/>
      <c r="P6" s="66"/>
      <c r="Q6" s="66"/>
      <c r="R6" s="68"/>
      <c r="S6" s="68"/>
      <c r="T6" s="68"/>
      <c r="U6" s="68"/>
      <c r="V6" s="66"/>
      <c r="W6" s="68"/>
      <c r="X6" s="66"/>
      <c r="Y6" s="66"/>
      <c r="Z6" s="66"/>
      <c r="AA6" s="66"/>
      <c r="AB6" s="66"/>
      <c r="AC6" s="68"/>
      <c r="AD6" s="68"/>
      <c r="AE6" s="66"/>
    </row>
    <row r="7" spans="1:31" s="17" customFormat="1" ht="22.5" x14ac:dyDescent="0.25">
      <c r="A7" s="71"/>
      <c r="B7" s="77"/>
      <c r="C7" s="80"/>
      <c r="D7" s="45">
        <v>162</v>
      </c>
      <c r="E7" s="41" t="s">
        <v>4</v>
      </c>
      <c r="F7" s="42">
        <f>D7/742</f>
        <v>0.21832884097035041</v>
      </c>
      <c r="G7" s="38"/>
      <c r="H7" s="66"/>
      <c r="I7" s="66"/>
      <c r="J7" s="66"/>
      <c r="K7" s="66"/>
      <c r="L7" s="66"/>
      <c r="M7" s="66"/>
      <c r="N7" s="66"/>
      <c r="O7" s="69"/>
      <c r="P7" s="66"/>
      <c r="Q7" s="66"/>
      <c r="R7" s="69"/>
      <c r="S7" s="69"/>
      <c r="T7" s="69"/>
      <c r="U7" s="69"/>
      <c r="V7" s="66"/>
      <c r="W7" s="69"/>
      <c r="X7" s="66"/>
      <c r="Y7" s="66"/>
      <c r="Z7" s="66"/>
      <c r="AA7" s="66"/>
      <c r="AB7" s="66"/>
      <c r="AC7" s="69"/>
      <c r="AD7" s="69"/>
      <c r="AE7" s="66"/>
    </row>
    <row r="8" spans="1:31" s="17" customFormat="1" ht="33.75" customHeight="1" x14ac:dyDescent="0.25">
      <c r="A8" s="71"/>
      <c r="B8" s="77" t="s">
        <v>31</v>
      </c>
      <c r="C8" s="78">
        <v>353</v>
      </c>
      <c r="D8" s="44">
        <v>747</v>
      </c>
      <c r="E8" s="41" t="s">
        <v>60</v>
      </c>
      <c r="F8" s="43">
        <f>D8/991</f>
        <v>0.75378405650857716</v>
      </c>
      <c r="G8" s="38"/>
      <c r="H8" s="77">
        <v>10800</v>
      </c>
      <c r="I8" s="77">
        <v>11242</v>
      </c>
      <c r="J8" s="77">
        <v>6552</v>
      </c>
      <c r="K8" s="77">
        <v>4278</v>
      </c>
      <c r="L8" s="77">
        <v>4884</v>
      </c>
      <c r="M8" s="77">
        <v>2481</v>
      </c>
      <c r="N8" s="77">
        <v>8470</v>
      </c>
      <c r="O8" s="77">
        <v>5118</v>
      </c>
      <c r="P8" s="77">
        <v>2576</v>
      </c>
      <c r="Q8" s="78">
        <v>9362</v>
      </c>
      <c r="R8" s="78">
        <v>2423</v>
      </c>
      <c r="S8" s="78">
        <v>2024</v>
      </c>
      <c r="T8" s="78">
        <v>1060</v>
      </c>
      <c r="U8" s="78">
        <v>13307</v>
      </c>
      <c r="V8" s="77">
        <v>0</v>
      </c>
      <c r="W8" s="78">
        <v>28</v>
      </c>
      <c r="X8" s="77">
        <v>184</v>
      </c>
      <c r="Y8" s="77">
        <v>5548</v>
      </c>
      <c r="Z8" s="77">
        <v>172</v>
      </c>
      <c r="AA8" s="77">
        <v>40</v>
      </c>
      <c r="AB8" s="77">
        <v>105</v>
      </c>
      <c r="AC8" s="78">
        <v>110</v>
      </c>
      <c r="AD8" s="97">
        <v>2</v>
      </c>
      <c r="AE8" s="77">
        <v>30</v>
      </c>
    </row>
    <row r="9" spans="1:31" s="17" customFormat="1" ht="22.5" x14ac:dyDescent="0.25">
      <c r="A9" s="71"/>
      <c r="B9" s="77"/>
      <c r="C9" s="79"/>
      <c r="D9" s="44">
        <v>17</v>
      </c>
      <c r="E9" s="41" t="s">
        <v>5</v>
      </c>
      <c r="F9" s="43">
        <f>D9/991</f>
        <v>1.7154389505549948E-2</v>
      </c>
      <c r="G9" s="38"/>
      <c r="H9" s="77"/>
      <c r="I9" s="77"/>
      <c r="J9" s="77"/>
      <c r="K9" s="77"/>
      <c r="L9" s="77"/>
      <c r="M9" s="77"/>
      <c r="N9" s="77"/>
      <c r="O9" s="77"/>
      <c r="P9" s="77"/>
      <c r="Q9" s="79"/>
      <c r="R9" s="79"/>
      <c r="S9" s="79"/>
      <c r="T9" s="79"/>
      <c r="U9" s="79"/>
      <c r="V9" s="77"/>
      <c r="W9" s="79"/>
      <c r="X9" s="77"/>
      <c r="Y9" s="77"/>
      <c r="Z9" s="77"/>
      <c r="AA9" s="77"/>
      <c r="AB9" s="77"/>
      <c r="AC9" s="79"/>
      <c r="AD9" s="98"/>
      <c r="AE9" s="77"/>
    </row>
    <row r="10" spans="1:31" s="17" customFormat="1" ht="11.25" x14ac:dyDescent="0.25">
      <c r="A10" s="71"/>
      <c r="B10" s="77"/>
      <c r="C10" s="79"/>
      <c r="D10" s="44">
        <v>57</v>
      </c>
      <c r="E10" s="41" t="s">
        <v>6</v>
      </c>
      <c r="F10" s="43">
        <f>D10/991</f>
        <v>5.7517658930373361E-2</v>
      </c>
      <c r="G10" s="38"/>
      <c r="H10" s="77"/>
      <c r="I10" s="77"/>
      <c r="J10" s="77"/>
      <c r="K10" s="77"/>
      <c r="L10" s="77"/>
      <c r="M10" s="77"/>
      <c r="N10" s="77"/>
      <c r="O10" s="77"/>
      <c r="P10" s="77"/>
      <c r="Q10" s="79"/>
      <c r="R10" s="79"/>
      <c r="S10" s="79"/>
      <c r="T10" s="79"/>
      <c r="U10" s="79"/>
      <c r="V10" s="77"/>
      <c r="W10" s="79"/>
      <c r="X10" s="77"/>
      <c r="Y10" s="77"/>
      <c r="Z10" s="77"/>
      <c r="AA10" s="77"/>
      <c r="AB10" s="77"/>
      <c r="AC10" s="79"/>
      <c r="AD10" s="98"/>
      <c r="AE10" s="77"/>
    </row>
    <row r="11" spans="1:31" s="17" customFormat="1" ht="22.5" x14ac:dyDescent="0.25">
      <c r="A11" s="71"/>
      <c r="B11" s="77"/>
      <c r="C11" s="80"/>
      <c r="D11" s="44">
        <v>170</v>
      </c>
      <c r="E11" s="41" t="s">
        <v>4</v>
      </c>
      <c r="F11" s="43">
        <f>D11/991</f>
        <v>0.1715438950554995</v>
      </c>
      <c r="G11" s="38"/>
      <c r="H11" s="77"/>
      <c r="I11" s="77"/>
      <c r="J11" s="77"/>
      <c r="K11" s="77"/>
      <c r="L11" s="77"/>
      <c r="M11" s="77"/>
      <c r="N11" s="77"/>
      <c r="O11" s="77"/>
      <c r="P11" s="77"/>
      <c r="Q11" s="80"/>
      <c r="R11" s="80"/>
      <c r="S11" s="80"/>
      <c r="T11" s="80"/>
      <c r="U11" s="80"/>
      <c r="V11" s="77"/>
      <c r="W11" s="80"/>
      <c r="X11" s="77"/>
      <c r="Y11" s="77"/>
      <c r="Z11" s="77"/>
      <c r="AA11" s="77"/>
      <c r="AB11" s="77"/>
      <c r="AC11" s="80"/>
      <c r="AD11" s="99"/>
      <c r="AE11" s="77"/>
    </row>
    <row r="12" spans="1:31" s="17" customFormat="1" ht="33.75" x14ac:dyDescent="0.25">
      <c r="A12" s="71"/>
      <c r="B12" s="77" t="s">
        <v>32</v>
      </c>
      <c r="C12" s="78">
        <v>57</v>
      </c>
      <c r="D12" s="44">
        <v>82</v>
      </c>
      <c r="E12" s="41" t="s">
        <v>60</v>
      </c>
      <c r="F12" s="43">
        <f>D12/138</f>
        <v>0.59420289855072461</v>
      </c>
      <c r="G12" s="38"/>
      <c r="H12" s="77">
        <v>595</v>
      </c>
      <c r="I12" s="77">
        <v>595</v>
      </c>
      <c r="J12" s="77">
        <v>1575</v>
      </c>
      <c r="K12" s="77">
        <v>92</v>
      </c>
      <c r="L12" s="77">
        <v>617</v>
      </c>
      <c r="M12" s="77">
        <v>202</v>
      </c>
      <c r="N12" s="77">
        <v>552</v>
      </c>
      <c r="O12" s="77">
        <v>276</v>
      </c>
      <c r="P12" s="77">
        <v>92</v>
      </c>
      <c r="Q12" s="78">
        <v>920</v>
      </c>
      <c r="R12" s="78">
        <v>309</v>
      </c>
      <c r="S12" s="78">
        <v>0</v>
      </c>
      <c r="T12" s="78">
        <v>0</v>
      </c>
      <c r="U12" s="78">
        <v>2108</v>
      </c>
      <c r="V12" s="77">
        <v>0</v>
      </c>
      <c r="W12" s="78">
        <v>0</v>
      </c>
      <c r="X12" s="77">
        <v>210</v>
      </c>
      <c r="Y12" s="77">
        <v>2056</v>
      </c>
      <c r="Z12" s="77">
        <v>0</v>
      </c>
      <c r="AA12" s="77">
        <f>16+2</f>
        <v>18</v>
      </c>
      <c r="AB12" s="77">
        <v>20</v>
      </c>
      <c r="AC12" s="78">
        <v>0</v>
      </c>
      <c r="AD12" s="97"/>
      <c r="AE12" s="77">
        <v>0</v>
      </c>
    </row>
    <row r="13" spans="1:31" s="17" customFormat="1" ht="22.5" x14ac:dyDescent="0.25">
      <c r="A13" s="71"/>
      <c r="B13" s="77"/>
      <c r="C13" s="79"/>
      <c r="D13" s="44">
        <v>6</v>
      </c>
      <c r="E13" s="41" t="s">
        <v>5</v>
      </c>
      <c r="F13" s="43">
        <f>D13/138</f>
        <v>4.3478260869565216E-2</v>
      </c>
      <c r="G13" s="38"/>
      <c r="H13" s="77"/>
      <c r="I13" s="77"/>
      <c r="J13" s="77"/>
      <c r="K13" s="77"/>
      <c r="L13" s="77"/>
      <c r="M13" s="77"/>
      <c r="N13" s="77"/>
      <c r="O13" s="77"/>
      <c r="P13" s="77"/>
      <c r="Q13" s="79"/>
      <c r="R13" s="79"/>
      <c r="S13" s="79"/>
      <c r="T13" s="79"/>
      <c r="U13" s="79"/>
      <c r="V13" s="77"/>
      <c r="W13" s="79"/>
      <c r="X13" s="77"/>
      <c r="Y13" s="77"/>
      <c r="Z13" s="77"/>
      <c r="AA13" s="77"/>
      <c r="AB13" s="77"/>
      <c r="AC13" s="79"/>
      <c r="AD13" s="98"/>
      <c r="AE13" s="77"/>
    </row>
    <row r="14" spans="1:31" s="17" customFormat="1" ht="11.25" x14ac:dyDescent="0.25">
      <c r="A14" s="71"/>
      <c r="B14" s="77"/>
      <c r="C14" s="79"/>
      <c r="D14" s="44">
        <v>16</v>
      </c>
      <c r="E14" s="41" t="s">
        <v>6</v>
      </c>
      <c r="F14" s="43">
        <f>D14/138</f>
        <v>0.11594202898550725</v>
      </c>
      <c r="G14" s="38"/>
      <c r="H14" s="77"/>
      <c r="I14" s="77"/>
      <c r="J14" s="77"/>
      <c r="K14" s="77"/>
      <c r="L14" s="77"/>
      <c r="M14" s="77"/>
      <c r="N14" s="77"/>
      <c r="O14" s="77"/>
      <c r="P14" s="77"/>
      <c r="Q14" s="79"/>
      <c r="R14" s="79"/>
      <c r="S14" s="79"/>
      <c r="T14" s="79"/>
      <c r="U14" s="79"/>
      <c r="V14" s="77"/>
      <c r="W14" s="79"/>
      <c r="X14" s="77"/>
      <c r="Y14" s="77"/>
      <c r="Z14" s="77"/>
      <c r="AA14" s="77"/>
      <c r="AB14" s="77"/>
      <c r="AC14" s="79"/>
      <c r="AD14" s="98"/>
      <c r="AE14" s="77"/>
    </row>
    <row r="15" spans="1:31" s="17" customFormat="1" ht="22.5" x14ac:dyDescent="0.25">
      <c r="A15" s="71"/>
      <c r="B15" s="77"/>
      <c r="C15" s="80"/>
      <c r="D15" s="44">
        <v>34</v>
      </c>
      <c r="E15" s="41" t="s">
        <v>4</v>
      </c>
      <c r="F15" s="43">
        <f>D15/138</f>
        <v>0.24637681159420291</v>
      </c>
      <c r="G15" s="38"/>
      <c r="H15" s="77"/>
      <c r="I15" s="77"/>
      <c r="J15" s="77"/>
      <c r="K15" s="77"/>
      <c r="L15" s="77"/>
      <c r="M15" s="77"/>
      <c r="N15" s="77"/>
      <c r="O15" s="77"/>
      <c r="P15" s="77"/>
      <c r="Q15" s="80"/>
      <c r="R15" s="80"/>
      <c r="S15" s="80"/>
      <c r="T15" s="80"/>
      <c r="U15" s="80"/>
      <c r="V15" s="77"/>
      <c r="W15" s="80"/>
      <c r="X15" s="77"/>
      <c r="Y15" s="77"/>
      <c r="Z15" s="77"/>
      <c r="AA15" s="77"/>
      <c r="AB15" s="77"/>
      <c r="AC15" s="80"/>
      <c r="AD15" s="99"/>
      <c r="AE15" s="77"/>
    </row>
    <row r="16" spans="1:31" s="17" customFormat="1" ht="32.25" customHeight="1" x14ac:dyDescent="0.25">
      <c r="A16" s="71"/>
      <c r="B16" s="77" t="s">
        <v>33</v>
      </c>
      <c r="C16" s="78">
        <v>123</v>
      </c>
      <c r="D16" s="44">
        <v>239</v>
      </c>
      <c r="E16" s="41" t="s">
        <v>60</v>
      </c>
      <c r="F16" s="43">
        <f>D16/339</f>
        <v>0.70501474926253682</v>
      </c>
      <c r="G16" s="38"/>
      <c r="H16" s="77">
        <v>2737</v>
      </c>
      <c r="I16" s="77">
        <v>3472</v>
      </c>
      <c r="J16" s="77">
        <v>912</v>
      </c>
      <c r="K16" s="77">
        <v>360</v>
      </c>
      <c r="L16" s="77">
        <v>1043</v>
      </c>
      <c r="M16" s="77">
        <v>837</v>
      </c>
      <c r="N16" s="77">
        <v>2300</v>
      </c>
      <c r="O16" s="77">
        <v>1729</v>
      </c>
      <c r="P16" s="77">
        <v>638</v>
      </c>
      <c r="Q16" s="78">
        <v>1917</v>
      </c>
      <c r="R16" s="78">
        <v>453</v>
      </c>
      <c r="S16" s="78">
        <v>0</v>
      </c>
      <c r="T16" s="78">
        <v>686</v>
      </c>
      <c r="U16" s="78">
        <v>3954</v>
      </c>
      <c r="V16" s="77">
        <v>0</v>
      </c>
      <c r="W16" s="78">
        <v>441</v>
      </c>
      <c r="X16" s="77">
        <v>150</v>
      </c>
      <c r="Y16" s="77">
        <v>1527</v>
      </c>
      <c r="Z16" s="77">
        <v>0</v>
      </c>
      <c r="AA16" s="77">
        <f>33+6</f>
        <v>39</v>
      </c>
      <c r="AB16" s="77">
        <v>50</v>
      </c>
      <c r="AC16" s="78">
        <v>0</v>
      </c>
      <c r="AD16" s="78">
        <v>3</v>
      </c>
      <c r="AE16" s="77">
        <v>25</v>
      </c>
    </row>
    <row r="17" spans="1:31" s="17" customFormat="1" ht="21" customHeight="1" x14ac:dyDescent="0.25">
      <c r="A17" s="71"/>
      <c r="B17" s="77"/>
      <c r="C17" s="79"/>
      <c r="D17" s="44">
        <v>10</v>
      </c>
      <c r="E17" s="41" t="s">
        <v>5</v>
      </c>
      <c r="F17" s="43">
        <f>D17/339</f>
        <v>2.9498525073746312E-2</v>
      </c>
      <c r="G17" s="38"/>
      <c r="H17" s="77"/>
      <c r="I17" s="77"/>
      <c r="J17" s="77"/>
      <c r="K17" s="77"/>
      <c r="L17" s="77"/>
      <c r="M17" s="77"/>
      <c r="N17" s="77"/>
      <c r="O17" s="77"/>
      <c r="P17" s="77"/>
      <c r="Q17" s="79"/>
      <c r="R17" s="79"/>
      <c r="S17" s="79"/>
      <c r="T17" s="79"/>
      <c r="U17" s="79"/>
      <c r="V17" s="77"/>
      <c r="W17" s="79"/>
      <c r="X17" s="77"/>
      <c r="Y17" s="77"/>
      <c r="Z17" s="77"/>
      <c r="AA17" s="77"/>
      <c r="AB17" s="77"/>
      <c r="AC17" s="79"/>
      <c r="AD17" s="79"/>
      <c r="AE17" s="77"/>
    </row>
    <row r="18" spans="1:31" s="17" customFormat="1" ht="11.25" x14ac:dyDescent="0.25">
      <c r="A18" s="71"/>
      <c r="B18" s="77"/>
      <c r="C18" s="79"/>
      <c r="D18" s="44">
        <v>36</v>
      </c>
      <c r="E18" s="41" t="s">
        <v>6</v>
      </c>
      <c r="F18" s="43">
        <f>D18/339</f>
        <v>0.10619469026548672</v>
      </c>
      <c r="G18" s="38"/>
      <c r="H18" s="77"/>
      <c r="I18" s="77"/>
      <c r="J18" s="77"/>
      <c r="K18" s="77"/>
      <c r="L18" s="77"/>
      <c r="M18" s="77"/>
      <c r="N18" s="77"/>
      <c r="O18" s="77"/>
      <c r="P18" s="77"/>
      <c r="Q18" s="79"/>
      <c r="R18" s="79"/>
      <c r="S18" s="79"/>
      <c r="T18" s="79"/>
      <c r="U18" s="79"/>
      <c r="V18" s="77"/>
      <c r="W18" s="79"/>
      <c r="X18" s="77"/>
      <c r="Y18" s="77"/>
      <c r="Z18" s="77"/>
      <c r="AA18" s="77"/>
      <c r="AB18" s="77"/>
      <c r="AC18" s="79"/>
      <c r="AD18" s="79"/>
      <c r="AE18" s="77"/>
    </row>
    <row r="19" spans="1:31" s="17" customFormat="1" ht="22.5" x14ac:dyDescent="0.25">
      <c r="A19" s="71"/>
      <c r="B19" s="77"/>
      <c r="C19" s="80"/>
      <c r="D19" s="44">
        <v>54</v>
      </c>
      <c r="E19" s="41" t="s">
        <v>4</v>
      </c>
      <c r="F19" s="43">
        <f>D19/339</f>
        <v>0.15929203539823009</v>
      </c>
      <c r="G19" s="38"/>
      <c r="H19" s="77"/>
      <c r="I19" s="77"/>
      <c r="J19" s="77"/>
      <c r="K19" s="77"/>
      <c r="L19" s="77"/>
      <c r="M19" s="77"/>
      <c r="N19" s="77"/>
      <c r="O19" s="77"/>
      <c r="P19" s="77"/>
      <c r="Q19" s="80"/>
      <c r="R19" s="80"/>
      <c r="S19" s="80"/>
      <c r="T19" s="80"/>
      <c r="U19" s="80"/>
      <c r="V19" s="77"/>
      <c r="W19" s="80"/>
      <c r="X19" s="77"/>
      <c r="Y19" s="77"/>
      <c r="Z19" s="77"/>
      <c r="AA19" s="77"/>
      <c r="AB19" s="77"/>
      <c r="AC19" s="80"/>
      <c r="AD19" s="80"/>
      <c r="AE19" s="77"/>
    </row>
    <row r="20" spans="1:31" s="34" customFormat="1" ht="47.25" customHeight="1" x14ac:dyDescent="0.25">
      <c r="A20" s="71"/>
      <c r="B20" s="77" t="s">
        <v>34</v>
      </c>
      <c r="C20" s="78">
        <v>56</v>
      </c>
      <c r="D20" s="45">
        <v>93</v>
      </c>
      <c r="E20" s="41" t="s">
        <v>60</v>
      </c>
      <c r="F20" s="43">
        <f>D20/151</f>
        <v>0.61589403973509937</v>
      </c>
      <c r="G20" s="38"/>
      <c r="H20" s="77">
        <v>1610</v>
      </c>
      <c r="I20" s="77">
        <v>1564</v>
      </c>
      <c r="J20" s="77">
        <v>1012</v>
      </c>
      <c r="K20" s="77">
        <v>690</v>
      </c>
      <c r="L20" s="77">
        <v>989</v>
      </c>
      <c r="M20" s="77">
        <v>1086</v>
      </c>
      <c r="N20" s="77">
        <v>1288</v>
      </c>
      <c r="O20" s="77">
        <v>804</v>
      </c>
      <c r="P20" s="77">
        <v>184</v>
      </c>
      <c r="Q20" s="78">
        <v>966</v>
      </c>
      <c r="R20" s="114">
        <v>625</v>
      </c>
      <c r="S20" s="114">
        <v>0</v>
      </c>
      <c r="T20" s="78">
        <v>0</v>
      </c>
      <c r="U20" s="78">
        <v>3032</v>
      </c>
      <c r="V20" s="77">
        <v>0</v>
      </c>
      <c r="W20" s="78">
        <v>92</v>
      </c>
      <c r="X20" s="77">
        <v>460</v>
      </c>
      <c r="Y20" s="77">
        <v>782</v>
      </c>
      <c r="Z20" s="77">
        <v>92</v>
      </c>
      <c r="AA20" s="77">
        <v>17</v>
      </c>
      <c r="AB20" s="77">
        <v>48</v>
      </c>
      <c r="AC20" s="78">
        <v>0</v>
      </c>
      <c r="AD20" s="78">
        <v>0</v>
      </c>
      <c r="AE20" s="77">
        <v>45</v>
      </c>
    </row>
    <row r="21" spans="1:31" s="34" customFormat="1" ht="30" customHeight="1" x14ac:dyDescent="0.25">
      <c r="A21" s="71"/>
      <c r="B21" s="77"/>
      <c r="C21" s="79"/>
      <c r="D21" s="45">
        <v>4</v>
      </c>
      <c r="E21" s="41" t="s">
        <v>5</v>
      </c>
      <c r="F21" s="43">
        <f>D21/151</f>
        <v>2.6490066225165563E-2</v>
      </c>
      <c r="G21" s="38"/>
      <c r="H21" s="77"/>
      <c r="I21" s="77"/>
      <c r="J21" s="77"/>
      <c r="K21" s="77"/>
      <c r="L21" s="77"/>
      <c r="M21" s="77"/>
      <c r="N21" s="77"/>
      <c r="O21" s="77"/>
      <c r="P21" s="77"/>
      <c r="Q21" s="79"/>
      <c r="R21" s="115"/>
      <c r="S21" s="115"/>
      <c r="T21" s="79"/>
      <c r="U21" s="79"/>
      <c r="V21" s="77"/>
      <c r="W21" s="79"/>
      <c r="X21" s="77"/>
      <c r="Y21" s="77"/>
      <c r="Z21" s="77"/>
      <c r="AA21" s="77"/>
      <c r="AB21" s="77"/>
      <c r="AC21" s="79"/>
      <c r="AD21" s="79"/>
      <c r="AE21" s="77"/>
    </row>
    <row r="22" spans="1:31" s="34" customFormat="1" ht="11.25" x14ac:dyDescent="0.25">
      <c r="A22" s="71"/>
      <c r="B22" s="77"/>
      <c r="C22" s="79"/>
      <c r="D22" s="45">
        <v>20</v>
      </c>
      <c r="E22" s="41" t="s">
        <v>6</v>
      </c>
      <c r="F22" s="43">
        <f>D22/151</f>
        <v>0.13245033112582782</v>
      </c>
      <c r="G22" s="38"/>
      <c r="H22" s="77"/>
      <c r="I22" s="77"/>
      <c r="J22" s="77"/>
      <c r="K22" s="77"/>
      <c r="L22" s="77"/>
      <c r="M22" s="77"/>
      <c r="N22" s="77"/>
      <c r="O22" s="77"/>
      <c r="P22" s="77"/>
      <c r="Q22" s="79"/>
      <c r="R22" s="115"/>
      <c r="S22" s="115"/>
      <c r="T22" s="79"/>
      <c r="U22" s="79"/>
      <c r="V22" s="77"/>
      <c r="W22" s="79"/>
      <c r="X22" s="77"/>
      <c r="Y22" s="77"/>
      <c r="Z22" s="77"/>
      <c r="AA22" s="77"/>
      <c r="AB22" s="77"/>
      <c r="AC22" s="79"/>
      <c r="AD22" s="79"/>
      <c r="AE22" s="77"/>
    </row>
    <row r="23" spans="1:31" s="17" customFormat="1" ht="25.5" customHeight="1" x14ac:dyDescent="0.25">
      <c r="A23" s="71"/>
      <c r="B23" s="77"/>
      <c r="C23" s="80"/>
      <c r="D23" s="45">
        <v>34</v>
      </c>
      <c r="E23" s="41" t="s">
        <v>4</v>
      </c>
      <c r="F23" s="43">
        <f>D23/151</f>
        <v>0.2251655629139073</v>
      </c>
      <c r="G23" s="38"/>
      <c r="H23" s="77"/>
      <c r="I23" s="77"/>
      <c r="J23" s="77"/>
      <c r="K23" s="77"/>
      <c r="L23" s="77"/>
      <c r="M23" s="77"/>
      <c r="N23" s="77"/>
      <c r="O23" s="77"/>
      <c r="P23" s="77"/>
      <c r="Q23" s="80"/>
      <c r="R23" s="31"/>
      <c r="S23" s="31"/>
      <c r="T23" s="80"/>
      <c r="U23" s="80"/>
      <c r="V23" s="77"/>
      <c r="W23" s="80"/>
      <c r="X23" s="77"/>
      <c r="Y23" s="77"/>
      <c r="Z23" s="77"/>
      <c r="AA23" s="77"/>
      <c r="AB23" s="77"/>
      <c r="AC23" s="80"/>
      <c r="AD23" s="80"/>
      <c r="AE23" s="77"/>
    </row>
    <row r="24" spans="1:31" s="17" customFormat="1" ht="25.5" customHeight="1" x14ac:dyDescent="0.25">
      <c r="A24" s="71"/>
      <c r="B24" s="77" t="s">
        <v>35</v>
      </c>
      <c r="C24" s="78">
        <v>128</v>
      </c>
      <c r="D24" s="44">
        <v>271</v>
      </c>
      <c r="E24" s="41" t="s">
        <v>60</v>
      </c>
      <c r="F24" s="43">
        <f>D24/373</f>
        <v>0.72654155495978556</v>
      </c>
      <c r="G24" s="38"/>
      <c r="H24" s="77">
        <v>3372</v>
      </c>
      <c r="I24" s="77">
        <v>1926</v>
      </c>
      <c r="J24" s="77">
        <v>2502</v>
      </c>
      <c r="K24" s="77">
        <v>1374</v>
      </c>
      <c r="L24" s="78">
        <v>1412</v>
      </c>
      <c r="M24" s="78">
        <v>779</v>
      </c>
      <c r="N24" s="78">
        <v>1840</v>
      </c>
      <c r="O24" s="78">
        <v>1188</v>
      </c>
      <c r="P24" s="78">
        <v>771</v>
      </c>
      <c r="Q24" s="78">
        <v>764</v>
      </c>
      <c r="R24" s="78">
        <v>96</v>
      </c>
      <c r="S24" s="78">
        <v>0</v>
      </c>
      <c r="T24" s="78">
        <v>345</v>
      </c>
      <c r="U24" s="78">
        <v>6717</v>
      </c>
      <c r="V24" s="78">
        <v>0</v>
      </c>
      <c r="W24" s="78">
        <v>0</v>
      </c>
      <c r="X24" s="78">
        <v>0</v>
      </c>
      <c r="Y24" s="77">
        <v>640</v>
      </c>
      <c r="Z24" s="78">
        <v>0</v>
      </c>
      <c r="AA24" s="78">
        <v>20</v>
      </c>
      <c r="AB24" s="78">
        <v>44</v>
      </c>
      <c r="AC24" s="78">
        <v>0</v>
      </c>
      <c r="AD24" s="78">
        <v>2</v>
      </c>
      <c r="AE24" s="78">
        <v>38</v>
      </c>
    </row>
    <row r="25" spans="1:31" s="17" customFormat="1" ht="22.5" x14ac:dyDescent="0.25">
      <c r="A25" s="71"/>
      <c r="B25" s="77"/>
      <c r="C25" s="79"/>
      <c r="D25" s="44">
        <v>6</v>
      </c>
      <c r="E25" s="41" t="s">
        <v>5</v>
      </c>
      <c r="F25" s="43">
        <f>D25/373</f>
        <v>1.6085790884718499E-2</v>
      </c>
      <c r="G25" s="38"/>
      <c r="H25" s="77"/>
      <c r="I25" s="77"/>
      <c r="J25" s="77"/>
      <c r="K25" s="77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7"/>
      <c r="Z25" s="79"/>
      <c r="AA25" s="79"/>
      <c r="AB25" s="79"/>
      <c r="AC25" s="79"/>
      <c r="AD25" s="79"/>
      <c r="AE25" s="79"/>
    </row>
    <row r="26" spans="1:31" s="17" customFormat="1" ht="11.25" x14ac:dyDescent="0.25">
      <c r="A26" s="71"/>
      <c r="B26" s="77"/>
      <c r="C26" s="79"/>
      <c r="D26" s="44">
        <v>27</v>
      </c>
      <c r="E26" s="41" t="s">
        <v>6</v>
      </c>
      <c r="F26" s="43">
        <f>D26/373</f>
        <v>7.2386058981233251E-2</v>
      </c>
      <c r="G26" s="38"/>
      <c r="H26" s="77"/>
      <c r="I26" s="77"/>
      <c r="J26" s="77"/>
      <c r="K26" s="77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7"/>
      <c r="Z26" s="79"/>
      <c r="AA26" s="79"/>
      <c r="AB26" s="79"/>
      <c r="AC26" s="79"/>
      <c r="AD26" s="79"/>
      <c r="AE26" s="79"/>
    </row>
    <row r="27" spans="1:31" s="17" customFormat="1" ht="22.5" x14ac:dyDescent="0.25">
      <c r="A27" s="71"/>
      <c r="B27" s="77"/>
      <c r="C27" s="80"/>
      <c r="D27" s="44">
        <v>69</v>
      </c>
      <c r="E27" s="41" t="s">
        <v>4</v>
      </c>
      <c r="F27" s="43">
        <f>D27/373</f>
        <v>0.18498659517426275</v>
      </c>
      <c r="G27" s="38"/>
      <c r="H27" s="77"/>
      <c r="I27" s="77"/>
      <c r="J27" s="77"/>
      <c r="K27" s="77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77"/>
      <c r="Z27" s="80"/>
      <c r="AA27" s="80"/>
      <c r="AB27" s="80"/>
      <c r="AC27" s="80"/>
      <c r="AD27" s="80"/>
      <c r="AE27" s="80"/>
    </row>
    <row r="28" spans="1:31" s="17" customFormat="1" ht="33.75" x14ac:dyDescent="0.25">
      <c r="A28" s="71"/>
      <c r="B28" s="77" t="s">
        <v>36</v>
      </c>
      <c r="C28" s="78">
        <v>158</v>
      </c>
      <c r="D28" s="44">
        <v>310</v>
      </c>
      <c r="E28" s="41" t="s">
        <v>60</v>
      </c>
      <c r="F28" s="43">
        <f>D28/478</f>
        <v>0.64853556485355646</v>
      </c>
      <c r="G28" s="38"/>
      <c r="H28" s="77">
        <v>4482</v>
      </c>
      <c r="I28" s="77">
        <v>3754</v>
      </c>
      <c r="J28" s="77">
        <v>2387</v>
      </c>
      <c r="K28" s="77">
        <v>661</v>
      </c>
      <c r="L28" s="77">
        <v>1604</v>
      </c>
      <c r="M28" s="77">
        <v>1740</v>
      </c>
      <c r="N28" s="77">
        <v>3115</v>
      </c>
      <c r="O28" s="77">
        <v>2230</v>
      </c>
      <c r="P28" s="77">
        <v>618</v>
      </c>
      <c r="Q28" s="78">
        <v>3298</v>
      </c>
      <c r="R28" s="78">
        <v>1579</v>
      </c>
      <c r="S28" s="78">
        <v>1554</v>
      </c>
      <c r="T28" s="78">
        <v>505</v>
      </c>
      <c r="U28" s="78">
        <v>8804</v>
      </c>
      <c r="V28" s="77">
        <v>0</v>
      </c>
      <c r="W28" s="78">
        <v>0</v>
      </c>
      <c r="X28" s="77">
        <v>184</v>
      </c>
      <c r="Y28" s="77">
        <v>3159</v>
      </c>
      <c r="Z28" s="77">
        <v>0</v>
      </c>
      <c r="AA28" s="77">
        <v>32</v>
      </c>
      <c r="AB28" s="77">
        <v>66</v>
      </c>
      <c r="AC28" s="78">
        <v>0</v>
      </c>
      <c r="AD28" s="78">
        <v>9</v>
      </c>
      <c r="AE28" s="77">
        <v>45</v>
      </c>
    </row>
    <row r="29" spans="1:31" s="17" customFormat="1" ht="24" customHeight="1" x14ac:dyDescent="0.25">
      <c r="A29" s="71"/>
      <c r="B29" s="77"/>
      <c r="C29" s="79"/>
      <c r="D29" s="44">
        <v>11</v>
      </c>
      <c r="E29" s="41" t="s">
        <v>5</v>
      </c>
      <c r="F29" s="43">
        <f>D29/478</f>
        <v>2.3012552301255231E-2</v>
      </c>
      <c r="G29" s="38"/>
      <c r="H29" s="77"/>
      <c r="I29" s="77"/>
      <c r="J29" s="77"/>
      <c r="K29" s="77"/>
      <c r="L29" s="77"/>
      <c r="M29" s="77"/>
      <c r="N29" s="77"/>
      <c r="O29" s="77"/>
      <c r="P29" s="77"/>
      <c r="Q29" s="79"/>
      <c r="R29" s="79"/>
      <c r="S29" s="79"/>
      <c r="T29" s="79"/>
      <c r="U29" s="79"/>
      <c r="V29" s="77"/>
      <c r="W29" s="79"/>
      <c r="X29" s="77"/>
      <c r="Y29" s="77"/>
      <c r="Z29" s="77"/>
      <c r="AA29" s="77"/>
      <c r="AB29" s="77"/>
      <c r="AC29" s="79"/>
      <c r="AD29" s="79"/>
      <c r="AE29" s="77"/>
    </row>
    <row r="30" spans="1:31" s="17" customFormat="1" ht="19.5" customHeight="1" x14ac:dyDescent="0.25">
      <c r="A30" s="71"/>
      <c r="B30" s="77"/>
      <c r="C30" s="79"/>
      <c r="D30" s="44">
        <v>39</v>
      </c>
      <c r="E30" s="41" t="s">
        <v>6</v>
      </c>
      <c r="F30" s="43">
        <f>D30/478</f>
        <v>8.1589958158995821E-2</v>
      </c>
      <c r="G30" s="38"/>
      <c r="H30" s="77"/>
      <c r="I30" s="77"/>
      <c r="J30" s="77"/>
      <c r="K30" s="77"/>
      <c r="L30" s="77"/>
      <c r="M30" s="77"/>
      <c r="N30" s="77"/>
      <c r="O30" s="77"/>
      <c r="P30" s="77"/>
      <c r="Q30" s="79"/>
      <c r="R30" s="79"/>
      <c r="S30" s="79"/>
      <c r="T30" s="79"/>
      <c r="U30" s="79"/>
      <c r="V30" s="77"/>
      <c r="W30" s="79"/>
      <c r="X30" s="77"/>
      <c r="Y30" s="77"/>
      <c r="Z30" s="77"/>
      <c r="AA30" s="77"/>
      <c r="AB30" s="77"/>
      <c r="AC30" s="79"/>
      <c r="AD30" s="79"/>
      <c r="AE30" s="77"/>
    </row>
    <row r="31" spans="1:31" s="17" customFormat="1" ht="28.5" customHeight="1" x14ac:dyDescent="0.25">
      <c r="A31" s="71"/>
      <c r="B31" s="77"/>
      <c r="C31" s="80"/>
      <c r="D31" s="44">
        <v>118</v>
      </c>
      <c r="E31" s="41" t="s">
        <v>4</v>
      </c>
      <c r="F31" s="43">
        <f>D31/478</f>
        <v>0.24686192468619247</v>
      </c>
      <c r="G31" s="38"/>
      <c r="H31" s="77"/>
      <c r="I31" s="77"/>
      <c r="J31" s="77"/>
      <c r="K31" s="77"/>
      <c r="L31" s="77"/>
      <c r="M31" s="77"/>
      <c r="N31" s="77"/>
      <c r="O31" s="77"/>
      <c r="P31" s="77"/>
      <c r="Q31" s="80"/>
      <c r="R31" s="31"/>
      <c r="S31" s="31"/>
      <c r="T31" s="80"/>
      <c r="U31" s="80"/>
      <c r="V31" s="77"/>
      <c r="W31" s="80"/>
      <c r="X31" s="77"/>
      <c r="Y31" s="77"/>
      <c r="Z31" s="77"/>
      <c r="AA31" s="77"/>
      <c r="AB31" s="77"/>
      <c r="AC31" s="80"/>
      <c r="AD31" s="80"/>
      <c r="AE31" s="77"/>
    </row>
    <row r="32" spans="1:31" s="17" customFormat="1" ht="33.75" x14ac:dyDescent="0.25">
      <c r="A32" s="71"/>
      <c r="B32" s="77" t="s">
        <v>37</v>
      </c>
      <c r="C32" s="78">
        <v>79</v>
      </c>
      <c r="D32" s="44">
        <v>204</v>
      </c>
      <c r="E32" s="41" t="s">
        <v>60</v>
      </c>
      <c r="F32" s="43">
        <f>D32/248</f>
        <v>0.82258064516129037</v>
      </c>
      <c r="G32" s="38"/>
      <c r="H32" s="77">
        <v>2336</v>
      </c>
      <c r="I32" s="77">
        <v>1332</v>
      </c>
      <c r="J32" s="77">
        <v>1010</v>
      </c>
      <c r="K32" s="77">
        <v>655</v>
      </c>
      <c r="L32" s="77">
        <v>1012</v>
      </c>
      <c r="M32" s="77">
        <v>949</v>
      </c>
      <c r="N32" s="77">
        <v>1380</v>
      </c>
      <c r="O32" s="77">
        <v>1309</v>
      </c>
      <c r="P32" s="77">
        <v>372</v>
      </c>
      <c r="Q32" s="78">
        <v>1942</v>
      </c>
      <c r="R32" s="78">
        <v>298</v>
      </c>
      <c r="S32" s="78">
        <v>184</v>
      </c>
      <c r="T32" s="78">
        <v>452</v>
      </c>
      <c r="U32" s="78">
        <v>1937</v>
      </c>
      <c r="V32" s="77">
        <v>0</v>
      </c>
      <c r="W32" s="78">
        <v>0</v>
      </c>
      <c r="X32" s="77">
        <v>184</v>
      </c>
      <c r="Y32" s="77">
        <v>920</v>
      </c>
      <c r="Z32" s="77">
        <v>92</v>
      </c>
      <c r="AA32" s="77">
        <v>11</v>
      </c>
      <c r="AB32" s="77">
        <v>17</v>
      </c>
      <c r="AC32" s="78">
        <v>0</v>
      </c>
      <c r="AD32" s="78">
        <v>3</v>
      </c>
      <c r="AE32" s="77">
        <v>0</v>
      </c>
    </row>
    <row r="33" spans="1:31" s="17" customFormat="1" ht="22.5" x14ac:dyDescent="0.25">
      <c r="A33" s="71"/>
      <c r="B33" s="77"/>
      <c r="C33" s="79"/>
      <c r="D33" s="44">
        <v>4</v>
      </c>
      <c r="E33" s="41" t="s">
        <v>5</v>
      </c>
      <c r="F33" s="43">
        <f>D33/248</f>
        <v>1.6129032258064516E-2</v>
      </c>
      <c r="G33" s="38"/>
      <c r="H33" s="77"/>
      <c r="I33" s="77"/>
      <c r="J33" s="77"/>
      <c r="K33" s="77"/>
      <c r="L33" s="77"/>
      <c r="M33" s="77"/>
      <c r="N33" s="77"/>
      <c r="O33" s="77"/>
      <c r="P33" s="77"/>
      <c r="Q33" s="79"/>
      <c r="R33" s="79"/>
      <c r="S33" s="79"/>
      <c r="T33" s="79"/>
      <c r="U33" s="79"/>
      <c r="V33" s="77"/>
      <c r="W33" s="79"/>
      <c r="X33" s="77"/>
      <c r="Y33" s="77"/>
      <c r="Z33" s="77"/>
      <c r="AA33" s="77"/>
      <c r="AB33" s="77"/>
      <c r="AC33" s="79"/>
      <c r="AD33" s="79"/>
      <c r="AE33" s="77"/>
    </row>
    <row r="34" spans="1:31" s="17" customFormat="1" ht="11.25" x14ac:dyDescent="0.25">
      <c r="A34" s="71"/>
      <c r="B34" s="77"/>
      <c r="C34" s="79"/>
      <c r="D34" s="44">
        <v>12</v>
      </c>
      <c r="E34" s="41" t="s">
        <v>6</v>
      </c>
      <c r="F34" s="43">
        <f>D34/248</f>
        <v>4.8387096774193547E-2</v>
      </c>
      <c r="G34" s="38"/>
      <c r="H34" s="77"/>
      <c r="I34" s="77"/>
      <c r="J34" s="77"/>
      <c r="K34" s="77"/>
      <c r="L34" s="77"/>
      <c r="M34" s="77"/>
      <c r="N34" s="77"/>
      <c r="O34" s="77"/>
      <c r="P34" s="77"/>
      <c r="Q34" s="79"/>
      <c r="R34" s="79"/>
      <c r="S34" s="79"/>
      <c r="T34" s="79"/>
      <c r="U34" s="79"/>
      <c r="V34" s="77"/>
      <c r="W34" s="79"/>
      <c r="X34" s="77"/>
      <c r="Y34" s="77"/>
      <c r="Z34" s="77"/>
      <c r="AA34" s="77"/>
      <c r="AB34" s="77"/>
      <c r="AC34" s="79"/>
      <c r="AD34" s="79"/>
      <c r="AE34" s="77"/>
    </row>
    <row r="35" spans="1:31" s="17" customFormat="1" ht="30" customHeight="1" x14ac:dyDescent="0.25">
      <c r="A35" s="71"/>
      <c r="B35" s="77"/>
      <c r="C35" s="80"/>
      <c r="D35" s="44">
        <v>28</v>
      </c>
      <c r="E35" s="41" t="s">
        <v>4</v>
      </c>
      <c r="F35" s="43">
        <f>D35/248</f>
        <v>0.11290322580645161</v>
      </c>
      <c r="G35" s="38"/>
      <c r="H35" s="77"/>
      <c r="I35" s="77"/>
      <c r="J35" s="77"/>
      <c r="K35" s="77"/>
      <c r="L35" s="77"/>
      <c r="M35" s="77"/>
      <c r="N35" s="77"/>
      <c r="O35" s="77"/>
      <c r="P35" s="77"/>
      <c r="Q35" s="80"/>
      <c r="R35" s="80"/>
      <c r="S35" s="80"/>
      <c r="T35" s="80"/>
      <c r="U35" s="80"/>
      <c r="V35" s="77"/>
      <c r="W35" s="80"/>
      <c r="X35" s="77"/>
      <c r="Y35" s="77"/>
      <c r="Z35" s="77"/>
      <c r="AA35" s="77"/>
      <c r="AB35" s="77"/>
      <c r="AC35" s="80"/>
      <c r="AD35" s="80"/>
      <c r="AE35" s="77"/>
    </row>
    <row r="36" spans="1:31" s="17" customFormat="1" ht="20.25" customHeight="1" x14ac:dyDescent="0.25">
      <c r="A36" s="71"/>
      <c r="B36" s="77" t="s">
        <v>38</v>
      </c>
      <c r="C36" s="78">
        <v>18</v>
      </c>
      <c r="D36" s="44">
        <v>43</v>
      </c>
      <c r="E36" s="41" t="s">
        <v>60</v>
      </c>
      <c r="F36" s="43">
        <f>D36/56</f>
        <v>0.7678571428571429</v>
      </c>
      <c r="G36" s="38"/>
      <c r="H36" s="77">
        <v>595</v>
      </c>
      <c r="I36" s="77">
        <v>90</v>
      </c>
      <c r="J36" s="77">
        <v>276</v>
      </c>
      <c r="K36" s="77">
        <v>184</v>
      </c>
      <c r="L36" s="77">
        <v>364</v>
      </c>
      <c r="M36" s="77">
        <v>0</v>
      </c>
      <c r="N36" s="77">
        <v>364</v>
      </c>
      <c r="O36" s="77">
        <v>472</v>
      </c>
      <c r="P36" s="77">
        <v>92</v>
      </c>
      <c r="Q36" s="78">
        <v>368</v>
      </c>
      <c r="R36" s="78">
        <v>30</v>
      </c>
      <c r="S36" s="29"/>
      <c r="T36" s="78">
        <v>0</v>
      </c>
      <c r="U36" s="78">
        <v>368</v>
      </c>
      <c r="V36" s="77">
        <v>0</v>
      </c>
      <c r="W36" s="78">
        <v>0</v>
      </c>
      <c r="X36" s="77">
        <v>0</v>
      </c>
      <c r="Y36" s="77">
        <v>276</v>
      </c>
      <c r="Z36" s="77">
        <v>0</v>
      </c>
      <c r="AA36" s="77">
        <v>1</v>
      </c>
      <c r="AB36" s="77">
        <v>3</v>
      </c>
      <c r="AC36" s="78">
        <v>0</v>
      </c>
      <c r="AD36" s="78">
        <v>2</v>
      </c>
      <c r="AE36" s="77">
        <v>31</v>
      </c>
    </row>
    <row r="37" spans="1:31" s="17" customFormat="1" ht="20.25" customHeight="1" x14ac:dyDescent="0.25">
      <c r="A37" s="71"/>
      <c r="B37" s="77"/>
      <c r="C37" s="79"/>
      <c r="D37" s="44">
        <v>1</v>
      </c>
      <c r="E37" s="41" t="s">
        <v>5</v>
      </c>
      <c r="F37" s="43">
        <f>D37/56</f>
        <v>1.7857142857142856E-2</v>
      </c>
      <c r="G37" s="38"/>
      <c r="H37" s="77"/>
      <c r="I37" s="77"/>
      <c r="J37" s="77"/>
      <c r="K37" s="77"/>
      <c r="L37" s="77"/>
      <c r="M37" s="77"/>
      <c r="N37" s="77"/>
      <c r="O37" s="77"/>
      <c r="P37" s="77"/>
      <c r="Q37" s="79"/>
      <c r="R37" s="79"/>
      <c r="S37" s="30">
        <v>0</v>
      </c>
      <c r="T37" s="79"/>
      <c r="U37" s="79"/>
      <c r="V37" s="77"/>
      <c r="W37" s="79"/>
      <c r="X37" s="77"/>
      <c r="Y37" s="77"/>
      <c r="Z37" s="77"/>
      <c r="AA37" s="77"/>
      <c r="AB37" s="77"/>
      <c r="AC37" s="79"/>
      <c r="AD37" s="79"/>
      <c r="AE37" s="77"/>
    </row>
    <row r="38" spans="1:31" s="17" customFormat="1" ht="11.25" x14ac:dyDescent="0.25">
      <c r="A38" s="71"/>
      <c r="B38" s="77"/>
      <c r="C38" s="79"/>
      <c r="D38" s="44">
        <v>4</v>
      </c>
      <c r="E38" s="41" t="s">
        <v>6</v>
      </c>
      <c r="F38" s="43">
        <f>D38/56</f>
        <v>7.1428571428571425E-2</v>
      </c>
      <c r="G38" s="38"/>
      <c r="H38" s="77"/>
      <c r="I38" s="77"/>
      <c r="J38" s="77"/>
      <c r="K38" s="77"/>
      <c r="L38" s="77"/>
      <c r="M38" s="77"/>
      <c r="N38" s="77"/>
      <c r="O38" s="77"/>
      <c r="P38" s="77"/>
      <c r="Q38" s="79"/>
      <c r="R38" s="79"/>
      <c r="S38" s="30"/>
      <c r="T38" s="79"/>
      <c r="U38" s="79"/>
      <c r="V38" s="77"/>
      <c r="W38" s="79"/>
      <c r="X38" s="77"/>
      <c r="Y38" s="77"/>
      <c r="Z38" s="77"/>
      <c r="AA38" s="77"/>
      <c r="AB38" s="77"/>
      <c r="AC38" s="79"/>
      <c r="AD38" s="79"/>
      <c r="AE38" s="77"/>
    </row>
    <row r="39" spans="1:31" s="17" customFormat="1" ht="24.75" customHeight="1" x14ac:dyDescent="0.25">
      <c r="A39" s="71"/>
      <c r="B39" s="77"/>
      <c r="C39" s="80"/>
      <c r="D39" s="44">
        <v>8</v>
      </c>
      <c r="E39" s="41" t="s">
        <v>4</v>
      </c>
      <c r="F39" s="43">
        <f>D39/56</f>
        <v>0.14285714285714285</v>
      </c>
      <c r="G39" s="38"/>
      <c r="H39" s="77"/>
      <c r="I39" s="77"/>
      <c r="J39" s="77"/>
      <c r="K39" s="77"/>
      <c r="L39" s="77"/>
      <c r="M39" s="77"/>
      <c r="N39" s="77"/>
      <c r="O39" s="77"/>
      <c r="P39" s="77"/>
      <c r="Q39" s="80"/>
      <c r="R39" s="31"/>
      <c r="S39" s="31"/>
      <c r="T39" s="80"/>
      <c r="U39" s="80"/>
      <c r="V39" s="77"/>
      <c r="W39" s="80"/>
      <c r="X39" s="77"/>
      <c r="Y39" s="77"/>
      <c r="Z39" s="77"/>
      <c r="AA39" s="77"/>
      <c r="AB39" s="77"/>
      <c r="AC39" s="80"/>
      <c r="AD39" s="80"/>
      <c r="AE39" s="77"/>
    </row>
    <row r="40" spans="1:31" s="17" customFormat="1" ht="33.75" x14ac:dyDescent="0.25">
      <c r="A40" s="71"/>
      <c r="B40" s="77" t="s">
        <v>39</v>
      </c>
      <c r="C40" s="78">
        <v>154</v>
      </c>
      <c r="D40" s="44">
        <v>250</v>
      </c>
      <c r="E40" s="41" t="s">
        <v>60</v>
      </c>
      <c r="F40" s="43">
        <f>D40/382</f>
        <v>0.65445026178010468</v>
      </c>
      <c r="G40" s="38"/>
      <c r="H40" s="77">
        <v>5556</v>
      </c>
      <c r="I40" s="77">
        <v>842</v>
      </c>
      <c r="J40" s="77">
        <v>1182</v>
      </c>
      <c r="K40" s="77">
        <v>1007</v>
      </c>
      <c r="L40" s="77">
        <v>1716</v>
      </c>
      <c r="M40" s="77">
        <v>897</v>
      </c>
      <c r="N40" s="77">
        <v>2638</v>
      </c>
      <c r="O40" s="77">
        <v>1542</v>
      </c>
      <c r="P40" s="77">
        <v>274</v>
      </c>
      <c r="Q40" s="78">
        <v>1973</v>
      </c>
      <c r="R40" s="78">
        <v>143</v>
      </c>
      <c r="S40" s="78">
        <v>546</v>
      </c>
      <c r="T40" s="78">
        <v>184</v>
      </c>
      <c r="U40" s="78">
        <v>6194</v>
      </c>
      <c r="V40" s="77">
        <v>0</v>
      </c>
      <c r="W40" s="78">
        <v>0</v>
      </c>
      <c r="X40" s="77">
        <v>368</v>
      </c>
      <c r="Y40" s="77">
        <v>3105</v>
      </c>
      <c r="Z40" s="77">
        <v>0</v>
      </c>
      <c r="AA40" s="77">
        <v>24</v>
      </c>
      <c r="AB40" s="77">
        <v>59</v>
      </c>
      <c r="AC40" s="78">
        <v>0</v>
      </c>
      <c r="AD40" s="78">
        <v>5</v>
      </c>
      <c r="AE40" s="77">
        <v>0</v>
      </c>
    </row>
    <row r="41" spans="1:31" s="17" customFormat="1" ht="24.75" customHeight="1" x14ac:dyDescent="0.25">
      <c r="A41" s="71"/>
      <c r="B41" s="77"/>
      <c r="C41" s="79"/>
      <c r="D41" s="44">
        <v>14</v>
      </c>
      <c r="E41" s="41" t="s">
        <v>5</v>
      </c>
      <c r="F41" s="43">
        <f>D41/382</f>
        <v>3.6649214659685861E-2</v>
      </c>
      <c r="G41" s="38"/>
      <c r="H41" s="77"/>
      <c r="I41" s="77"/>
      <c r="J41" s="77"/>
      <c r="K41" s="77"/>
      <c r="L41" s="77"/>
      <c r="M41" s="77"/>
      <c r="N41" s="77"/>
      <c r="O41" s="77"/>
      <c r="P41" s="77"/>
      <c r="Q41" s="79"/>
      <c r="R41" s="79"/>
      <c r="S41" s="79"/>
      <c r="T41" s="79"/>
      <c r="U41" s="79"/>
      <c r="V41" s="77"/>
      <c r="W41" s="79"/>
      <c r="X41" s="77"/>
      <c r="Y41" s="77"/>
      <c r="Z41" s="77"/>
      <c r="AA41" s="77"/>
      <c r="AB41" s="77"/>
      <c r="AC41" s="79"/>
      <c r="AD41" s="79"/>
      <c r="AE41" s="77"/>
    </row>
    <row r="42" spans="1:31" s="17" customFormat="1" ht="11.25" x14ac:dyDescent="0.25">
      <c r="A42" s="71"/>
      <c r="B42" s="77"/>
      <c r="C42" s="79"/>
      <c r="D42" s="44">
        <v>41</v>
      </c>
      <c r="E42" s="41" t="s">
        <v>6</v>
      </c>
      <c r="F42" s="43">
        <f>D42/382</f>
        <v>0.10732984293193717</v>
      </c>
      <c r="G42" s="38"/>
      <c r="H42" s="77"/>
      <c r="I42" s="77"/>
      <c r="J42" s="77"/>
      <c r="K42" s="77"/>
      <c r="L42" s="77"/>
      <c r="M42" s="77"/>
      <c r="N42" s="77"/>
      <c r="O42" s="77"/>
      <c r="P42" s="77"/>
      <c r="Q42" s="79"/>
      <c r="R42" s="79"/>
      <c r="S42" s="79"/>
      <c r="T42" s="79"/>
      <c r="U42" s="79"/>
      <c r="V42" s="77"/>
      <c r="W42" s="79"/>
      <c r="X42" s="77"/>
      <c r="Y42" s="77"/>
      <c r="Z42" s="77"/>
      <c r="AA42" s="77"/>
      <c r="AB42" s="77"/>
      <c r="AC42" s="79"/>
      <c r="AD42" s="79"/>
      <c r="AE42" s="77"/>
    </row>
    <row r="43" spans="1:31" s="17" customFormat="1" ht="22.5" x14ac:dyDescent="0.25">
      <c r="A43" s="71"/>
      <c r="B43" s="77"/>
      <c r="C43" s="80"/>
      <c r="D43" s="44">
        <v>77</v>
      </c>
      <c r="E43" s="41" t="s">
        <v>4</v>
      </c>
      <c r="F43" s="43">
        <f>D43/382</f>
        <v>0.20157068062827224</v>
      </c>
      <c r="G43" s="38"/>
      <c r="H43" s="77"/>
      <c r="I43" s="77"/>
      <c r="J43" s="77"/>
      <c r="K43" s="77"/>
      <c r="L43" s="77"/>
      <c r="M43" s="77"/>
      <c r="N43" s="77"/>
      <c r="O43" s="77"/>
      <c r="P43" s="77"/>
      <c r="Q43" s="80"/>
      <c r="R43" s="80"/>
      <c r="S43" s="80"/>
      <c r="T43" s="80"/>
      <c r="U43" s="80"/>
      <c r="V43" s="77"/>
      <c r="W43" s="80"/>
      <c r="X43" s="77"/>
      <c r="Y43" s="77"/>
      <c r="Z43" s="77"/>
      <c r="AA43" s="77"/>
      <c r="AB43" s="77"/>
      <c r="AC43" s="80"/>
      <c r="AD43" s="80"/>
      <c r="AE43" s="77"/>
    </row>
    <row r="44" spans="1:31" s="17" customFormat="1" ht="33" customHeight="1" x14ac:dyDescent="0.25">
      <c r="A44" s="71"/>
      <c r="B44" s="77" t="s">
        <v>40</v>
      </c>
      <c r="C44" s="78">
        <v>106</v>
      </c>
      <c r="D44" s="44">
        <v>203</v>
      </c>
      <c r="E44" s="41" t="s">
        <v>60</v>
      </c>
      <c r="F44" s="43">
        <f>D44/297</f>
        <v>0.6835016835016835</v>
      </c>
      <c r="G44" s="38"/>
      <c r="H44" s="78">
        <v>2188</v>
      </c>
      <c r="I44" s="78">
        <v>1467</v>
      </c>
      <c r="J44" s="78">
        <v>2125</v>
      </c>
      <c r="K44" s="78">
        <v>556</v>
      </c>
      <c r="L44" s="78">
        <v>1050</v>
      </c>
      <c r="M44" s="78">
        <v>446</v>
      </c>
      <c r="N44" s="78">
        <v>2149</v>
      </c>
      <c r="O44" s="78">
        <v>1010</v>
      </c>
      <c r="P44" s="78">
        <v>426</v>
      </c>
      <c r="Q44" s="78">
        <v>1431</v>
      </c>
      <c r="R44" s="78">
        <v>600</v>
      </c>
      <c r="S44" s="78">
        <v>1366</v>
      </c>
      <c r="T44" s="78">
        <v>0</v>
      </c>
      <c r="U44" s="78">
        <v>3491</v>
      </c>
      <c r="V44" s="78">
        <v>0</v>
      </c>
      <c r="W44" s="78">
        <v>128</v>
      </c>
      <c r="X44" s="78">
        <v>0</v>
      </c>
      <c r="Y44" s="77">
        <v>3897</v>
      </c>
      <c r="Z44" s="78">
        <v>0</v>
      </c>
      <c r="AA44" s="78">
        <v>13</v>
      </c>
      <c r="AB44" s="78">
        <v>12</v>
      </c>
      <c r="AC44" s="78">
        <v>0</v>
      </c>
      <c r="AD44" s="78">
        <v>2</v>
      </c>
      <c r="AE44" s="78">
        <v>0</v>
      </c>
    </row>
    <row r="45" spans="1:31" s="17" customFormat="1" ht="33" customHeight="1" x14ac:dyDescent="0.25">
      <c r="A45" s="71"/>
      <c r="B45" s="77"/>
      <c r="C45" s="79"/>
      <c r="D45" s="44">
        <v>15</v>
      </c>
      <c r="E45" s="41" t="s">
        <v>5</v>
      </c>
      <c r="F45" s="43">
        <f>D45/297</f>
        <v>5.0505050505050504E-2</v>
      </c>
      <c r="G45" s="38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7"/>
      <c r="Z45" s="79"/>
      <c r="AA45" s="79"/>
      <c r="AB45" s="79"/>
      <c r="AC45" s="79"/>
      <c r="AD45" s="79"/>
      <c r="AE45" s="79"/>
    </row>
    <row r="46" spans="1:31" s="17" customFormat="1" ht="33" customHeight="1" x14ac:dyDescent="0.25">
      <c r="A46" s="71"/>
      <c r="B46" s="77"/>
      <c r="C46" s="79"/>
      <c r="D46" s="44">
        <v>21</v>
      </c>
      <c r="E46" s="41" t="s">
        <v>6</v>
      </c>
      <c r="F46" s="43">
        <f>D46/297</f>
        <v>7.0707070707070704E-2</v>
      </c>
      <c r="G46" s="38">
        <v>2046</v>
      </c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7"/>
      <c r="Z46" s="79"/>
      <c r="AA46" s="79"/>
      <c r="AB46" s="79"/>
      <c r="AC46" s="79"/>
      <c r="AD46" s="79"/>
      <c r="AE46" s="79"/>
    </row>
    <row r="47" spans="1:31" s="17" customFormat="1" ht="33" customHeight="1" x14ac:dyDescent="0.25">
      <c r="A47" s="72"/>
      <c r="B47" s="77"/>
      <c r="C47" s="80"/>
      <c r="D47" s="44">
        <v>58</v>
      </c>
      <c r="E47" s="41" t="s">
        <v>4</v>
      </c>
      <c r="F47" s="43">
        <f>D47/297</f>
        <v>0.19528619528619529</v>
      </c>
      <c r="G47" s="39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31"/>
      <c r="S47" s="80"/>
      <c r="T47" s="80"/>
      <c r="U47" s="80"/>
      <c r="V47" s="80"/>
      <c r="W47" s="80"/>
      <c r="X47" s="80"/>
      <c r="Y47" s="77"/>
      <c r="Z47" s="80"/>
      <c r="AA47" s="80"/>
      <c r="AB47" s="80"/>
      <c r="AC47" s="80"/>
      <c r="AD47" s="80"/>
      <c r="AE47" s="80"/>
    </row>
    <row r="48" spans="1:31" ht="25.5" customHeight="1" x14ac:dyDescent="0.25">
      <c r="A48" s="73" t="s">
        <v>41</v>
      </c>
      <c r="B48" s="73"/>
      <c r="C48" s="73"/>
      <c r="D48" s="73"/>
      <c r="E48" s="73"/>
      <c r="F48" s="73"/>
      <c r="G48" s="73"/>
      <c r="H48" s="7">
        <f>SUM(H4:H47)</f>
        <v>40895</v>
      </c>
      <c r="I48" s="7">
        <f t="shared" ref="I48:AE48" si="0">SUM(I4:I47)</f>
        <v>30378</v>
      </c>
      <c r="J48" s="7">
        <f t="shared" si="0"/>
        <v>29881</v>
      </c>
      <c r="K48" s="7">
        <f t="shared" si="0"/>
        <v>12111</v>
      </c>
      <c r="L48" s="7">
        <f t="shared" si="0"/>
        <v>19016</v>
      </c>
      <c r="M48" s="7">
        <f t="shared" si="0"/>
        <v>11431</v>
      </c>
      <c r="N48" s="7">
        <f t="shared" si="0"/>
        <v>32988</v>
      </c>
      <c r="O48" s="7">
        <f t="shared" si="0"/>
        <v>20088</v>
      </c>
      <c r="P48" s="7">
        <f t="shared" si="0"/>
        <v>7169</v>
      </c>
      <c r="Q48" s="7">
        <f t="shared" si="0"/>
        <v>28231</v>
      </c>
      <c r="R48" s="7">
        <f t="shared" si="0"/>
        <v>7868</v>
      </c>
      <c r="S48" s="7">
        <f t="shared" si="0"/>
        <v>11654</v>
      </c>
      <c r="T48" s="7">
        <f t="shared" si="0"/>
        <v>3999</v>
      </c>
      <c r="U48" s="7">
        <f t="shared" si="0"/>
        <v>66149</v>
      </c>
      <c r="V48" s="7">
        <f t="shared" si="0"/>
        <v>24</v>
      </c>
      <c r="W48" s="7">
        <f t="shared" si="0"/>
        <v>700</v>
      </c>
      <c r="X48" s="7">
        <f t="shared" si="0"/>
        <v>2384</v>
      </c>
      <c r="Y48" s="7">
        <f t="shared" si="0"/>
        <v>35764</v>
      </c>
      <c r="Z48" s="7">
        <f t="shared" si="0"/>
        <v>356</v>
      </c>
      <c r="AA48" s="7">
        <f t="shared" si="0"/>
        <v>270</v>
      </c>
      <c r="AB48" s="7">
        <f t="shared" si="0"/>
        <v>579</v>
      </c>
      <c r="AC48" s="7">
        <f t="shared" si="0"/>
        <v>110</v>
      </c>
      <c r="AD48" s="7">
        <f t="shared" si="0"/>
        <v>41</v>
      </c>
      <c r="AE48" s="7">
        <f t="shared" si="0"/>
        <v>224</v>
      </c>
    </row>
    <row r="49" spans="1:31" ht="27" customHeight="1" x14ac:dyDescent="0.2">
      <c r="A49" s="73" t="s">
        <v>42</v>
      </c>
      <c r="B49" s="73"/>
      <c r="C49" s="73"/>
      <c r="D49" s="73"/>
      <c r="E49" s="73"/>
      <c r="F49" s="73"/>
      <c r="G49" s="73"/>
      <c r="H49" s="18">
        <v>6.4500000000000002E-2</v>
      </c>
      <c r="I49" s="18">
        <v>5.8500000000000003E-2</v>
      </c>
      <c r="J49" s="19">
        <v>0.10717999</v>
      </c>
      <c r="K49" s="20">
        <v>6.6000000000000003E-2</v>
      </c>
      <c r="L49" s="20">
        <v>4.8000000000000001E-2</v>
      </c>
      <c r="M49" s="21">
        <v>0.03</v>
      </c>
      <c r="N49" s="22">
        <v>0.09</v>
      </c>
      <c r="O49" s="22">
        <v>0.23499999999999999</v>
      </c>
      <c r="P49" s="23">
        <v>0.1034559</v>
      </c>
      <c r="Q49" s="18">
        <v>0.1205</v>
      </c>
      <c r="R49" s="46">
        <v>6.1499999999999999E-2</v>
      </c>
      <c r="S49" s="47">
        <v>4.1000000000000002E-2</v>
      </c>
      <c r="T49" s="8">
        <v>0.188</v>
      </c>
      <c r="U49" s="20">
        <v>9.7000000000000003E-2</v>
      </c>
      <c r="V49" s="24">
        <v>8.9969999999999994E-2</v>
      </c>
      <c r="W49" s="22">
        <v>0.22</v>
      </c>
      <c r="X49" s="22">
        <v>0.12</v>
      </c>
      <c r="Y49" s="25">
        <v>4.6399999999999997E-2</v>
      </c>
      <c r="Z49" s="22">
        <v>3.27</v>
      </c>
      <c r="AA49" s="22">
        <v>4.8600000000000003</v>
      </c>
      <c r="AB49" s="22">
        <v>11.52</v>
      </c>
      <c r="AC49" s="22">
        <v>2.21</v>
      </c>
      <c r="AD49" s="26">
        <v>73.87</v>
      </c>
      <c r="AE49" s="22">
        <v>0.52</v>
      </c>
    </row>
    <row r="50" spans="1:31" ht="24" customHeight="1" x14ac:dyDescent="0.25">
      <c r="A50" s="73" t="s">
        <v>43</v>
      </c>
      <c r="B50" s="73"/>
      <c r="C50" s="73"/>
      <c r="D50" s="73"/>
      <c r="E50" s="73"/>
      <c r="F50" s="73"/>
      <c r="G50" s="73"/>
      <c r="H50" s="16">
        <f>H48*H49</f>
        <v>2637.7275</v>
      </c>
      <c r="I50" s="16">
        <f t="shared" ref="I50:AE50" si="1">I48*I49</f>
        <v>1777.1130000000001</v>
      </c>
      <c r="J50" s="16">
        <f t="shared" si="1"/>
        <v>3202.6452811899999</v>
      </c>
      <c r="K50" s="16">
        <f t="shared" si="1"/>
        <v>799.32600000000002</v>
      </c>
      <c r="L50" s="16">
        <f t="shared" si="1"/>
        <v>912.76800000000003</v>
      </c>
      <c r="M50" s="16">
        <f t="shared" si="1"/>
        <v>342.93</v>
      </c>
      <c r="N50" s="16">
        <f t="shared" si="1"/>
        <v>2968.92</v>
      </c>
      <c r="O50" s="16">
        <f t="shared" si="1"/>
        <v>4720.6799999999994</v>
      </c>
      <c r="P50" s="16">
        <f t="shared" si="1"/>
        <v>741.67534710000007</v>
      </c>
      <c r="Q50" s="16">
        <f t="shared" si="1"/>
        <v>3401.8354999999997</v>
      </c>
      <c r="R50" s="16">
        <f t="shared" si="1"/>
        <v>483.88200000000001</v>
      </c>
      <c r="S50" s="16">
        <f t="shared" si="1"/>
        <v>477.81400000000002</v>
      </c>
      <c r="T50" s="16">
        <f t="shared" si="1"/>
        <v>751.81200000000001</v>
      </c>
      <c r="U50" s="16">
        <f t="shared" si="1"/>
        <v>6416.4530000000004</v>
      </c>
      <c r="V50" s="16">
        <f t="shared" si="1"/>
        <v>2.1592799999999999</v>
      </c>
      <c r="W50" s="16">
        <f t="shared" si="1"/>
        <v>154</v>
      </c>
      <c r="X50" s="16">
        <f t="shared" si="1"/>
        <v>286.08</v>
      </c>
      <c r="Y50" s="16">
        <f t="shared" si="1"/>
        <v>1659.4495999999999</v>
      </c>
      <c r="Z50" s="16">
        <f t="shared" si="1"/>
        <v>1164.1200000000001</v>
      </c>
      <c r="AA50" s="16">
        <f t="shared" si="1"/>
        <v>1312.2</v>
      </c>
      <c r="AB50" s="16">
        <f t="shared" si="1"/>
        <v>6670.08</v>
      </c>
      <c r="AC50" s="16">
        <f t="shared" si="1"/>
        <v>243.1</v>
      </c>
      <c r="AD50" s="16">
        <f t="shared" si="1"/>
        <v>3028.67</v>
      </c>
      <c r="AE50" s="16">
        <f t="shared" si="1"/>
        <v>116.48</v>
      </c>
    </row>
    <row r="51" spans="1:31" ht="20.25" customHeight="1" x14ac:dyDescent="0.25">
      <c r="A51" s="73" t="s">
        <v>44</v>
      </c>
      <c r="B51" s="73"/>
      <c r="C51" s="73"/>
      <c r="D51" s="73"/>
      <c r="E51" s="73"/>
      <c r="F51" s="73"/>
      <c r="G51" s="73"/>
      <c r="H51" s="90">
        <f>H50+I50+J50+K50+L50+M50+N50+O50+P50+Q50+T50+U50+V50+W50+X50+Y50+Z50+AA50+AB50+AC50+AD50+AE50</f>
        <v>43310.224508290004</v>
      </c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</row>
    <row r="52" spans="1:31" ht="22.5" customHeight="1" x14ac:dyDescent="0.25">
      <c r="A52" s="73" t="s">
        <v>45</v>
      </c>
      <c r="B52" s="73"/>
      <c r="C52" s="73"/>
      <c r="D52" s="73"/>
      <c r="E52" s="73"/>
      <c r="F52" s="73"/>
      <c r="G52" s="73"/>
      <c r="H52" s="106" t="s">
        <v>3</v>
      </c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93"/>
      <c r="U52" s="73" t="s">
        <v>4</v>
      </c>
      <c r="V52" s="73"/>
      <c r="W52" s="73"/>
      <c r="X52" s="73" t="s">
        <v>5</v>
      </c>
      <c r="Y52" s="73"/>
      <c r="Z52" s="73" t="s">
        <v>6</v>
      </c>
      <c r="AA52" s="73"/>
      <c r="AB52" s="73"/>
      <c r="AC52" s="73"/>
      <c r="AD52" s="73"/>
      <c r="AE52" s="73"/>
    </row>
    <row r="53" spans="1:31" ht="29.25" customHeight="1" x14ac:dyDescent="0.25">
      <c r="A53" s="73"/>
      <c r="B53" s="73"/>
      <c r="C53" s="73"/>
      <c r="D53" s="73"/>
      <c r="E53" s="73"/>
      <c r="F53" s="73"/>
      <c r="G53" s="73"/>
      <c r="H53" s="108">
        <f>H50+I50+J50+K50+L50+M50+N50+O50+P50+Q50+T50</f>
        <v>22257.432628290004</v>
      </c>
      <c r="I53" s="109"/>
      <c r="J53" s="109"/>
      <c r="K53" s="109"/>
      <c r="L53" s="109"/>
      <c r="M53" s="109"/>
      <c r="N53" s="109"/>
      <c r="O53" s="109"/>
      <c r="P53" s="109"/>
      <c r="Q53" s="109"/>
      <c r="R53" s="109"/>
      <c r="S53" s="109"/>
      <c r="T53" s="110"/>
      <c r="U53" s="94">
        <f>U50+V50+W50</f>
        <v>6572.6122800000003</v>
      </c>
      <c r="V53" s="95"/>
      <c r="W53" s="96"/>
      <c r="X53" s="91">
        <f>X50+Y50</f>
        <v>1945.5295999999998</v>
      </c>
      <c r="Y53" s="91"/>
      <c r="Z53" s="90">
        <f>Z50+AA50+AB50+AC50+AD50+AE50</f>
        <v>12534.65</v>
      </c>
      <c r="AA53" s="90"/>
      <c r="AB53" s="90"/>
      <c r="AC53" s="90"/>
      <c r="AD53" s="90"/>
      <c r="AE53" s="90"/>
    </row>
    <row r="54" spans="1:31" ht="34.5" customHeight="1" x14ac:dyDescent="0.25">
      <c r="A54" s="73" t="s">
        <v>46</v>
      </c>
      <c r="B54" s="73"/>
      <c r="C54" s="73"/>
      <c r="D54" s="73"/>
      <c r="E54" s="73"/>
      <c r="F54" s="73"/>
      <c r="G54" s="73"/>
      <c r="H54" s="108">
        <v>2184600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10"/>
      <c r="U54" s="92">
        <v>590000</v>
      </c>
      <c r="V54" s="92"/>
      <c r="W54" s="92"/>
      <c r="X54" s="91">
        <v>50000</v>
      </c>
      <c r="Y54" s="91"/>
      <c r="Z54" s="91">
        <v>620700</v>
      </c>
      <c r="AA54" s="91"/>
      <c r="AB54" s="91"/>
      <c r="AC54" s="91"/>
      <c r="AD54" s="91"/>
      <c r="AE54" s="91"/>
    </row>
    <row r="59" spans="1:31" ht="22.5" customHeight="1" x14ac:dyDescent="0.25">
      <c r="B59" s="88" t="s">
        <v>47</v>
      </c>
      <c r="C59" s="88"/>
    </row>
    <row r="60" spans="1:31" x14ac:dyDescent="0.25">
      <c r="A60" s="28">
        <v>1</v>
      </c>
      <c r="B60" s="89" t="s">
        <v>48</v>
      </c>
      <c r="C60" s="89"/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</row>
    <row r="61" spans="1:31" ht="30.75" customHeight="1" x14ac:dyDescent="0.25">
      <c r="A61" s="28">
        <v>2</v>
      </c>
      <c r="B61" s="89" t="s">
        <v>49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</row>
    <row r="62" spans="1:31" x14ac:dyDescent="0.25">
      <c r="A62" s="28">
        <v>3</v>
      </c>
      <c r="B62" s="89" t="s">
        <v>64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</sheetData>
  <mergeCells count="319">
    <mergeCell ref="B1:D2"/>
    <mergeCell ref="E1:E3"/>
    <mergeCell ref="F1:F3"/>
    <mergeCell ref="B59:C59"/>
    <mergeCell ref="B60:P60"/>
    <mergeCell ref="B61:M61"/>
    <mergeCell ref="B62:M62"/>
    <mergeCell ref="R4:R7"/>
    <mergeCell ref="S4:S7"/>
    <mergeCell ref="R8:R11"/>
    <mergeCell ref="S8:S11"/>
    <mergeCell ref="R12:R15"/>
    <mergeCell ref="S12:S15"/>
    <mergeCell ref="K40:K43"/>
    <mergeCell ref="L40:L43"/>
    <mergeCell ref="M40:M43"/>
    <mergeCell ref="N40:N43"/>
    <mergeCell ref="O40:O43"/>
    <mergeCell ref="P40:P43"/>
    <mergeCell ref="K28:K31"/>
    <mergeCell ref="L28:L31"/>
    <mergeCell ref="M28:M31"/>
    <mergeCell ref="N28:N31"/>
    <mergeCell ref="Z53:AE53"/>
    <mergeCell ref="A54:G54"/>
    <mergeCell ref="H54:T54"/>
    <mergeCell ref="U54:W54"/>
    <mergeCell ref="X54:Y54"/>
    <mergeCell ref="Z54:AE54"/>
    <mergeCell ref="A51:G51"/>
    <mergeCell ref="H51:AE51"/>
    <mergeCell ref="A52:G53"/>
    <mergeCell ref="H52:T52"/>
    <mergeCell ref="U52:W52"/>
    <mergeCell ref="X52:Y52"/>
    <mergeCell ref="Z52:AE52"/>
    <mergeCell ref="H53:T53"/>
    <mergeCell ref="U53:W53"/>
    <mergeCell ref="X53:Y53"/>
    <mergeCell ref="AC44:AC47"/>
    <mergeCell ref="AD44:AD47"/>
    <mergeCell ref="AE44:AE47"/>
    <mergeCell ref="A48:G48"/>
    <mergeCell ref="A49:G49"/>
    <mergeCell ref="A50:G50"/>
    <mergeCell ref="R44:R46"/>
    <mergeCell ref="S44:S47"/>
    <mergeCell ref="W44:W47"/>
    <mergeCell ref="X44:X47"/>
    <mergeCell ref="Y44:Y47"/>
    <mergeCell ref="Z44:Z47"/>
    <mergeCell ref="AA44:AA47"/>
    <mergeCell ref="AB44:AB47"/>
    <mergeCell ref="O44:O47"/>
    <mergeCell ref="P44:P47"/>
    <mergeCell ref="Q44:Q47"/>
    <mergeCell ref="T44:T47"/>
    <mergeCell ref="U44:U47"/>
    <mergeCell ref="V44:V47"/>
    <mergeCell ref="Y40:Y43"/>
    <mergeCell ref="Z40:Z43"/>
    <mergeCell ref="AA40:AA43"/>
    <mergeCell ref="AB40:AB43"/>
    <mergeCell ref="AC40:AC43"/>
    <mergeCell ref="AD40:AD43"/>
    <mergeCell ref="Q40:Q43"/>
    <mergeCell ref="T40:T43"/>
    <mergeCell ref="U40:U43"/>
    <mergeCell ref="V40:V43"/>
    <mergeCell ref="W40:W43"/>
    <mergeCell ref="X40:X43"/>
    <mergeCell ref="S40:S43"/>
    <mergeCell ref="R40:R43"/>
    <mergeCell ref="B44:B47"/>
    <mergeCell ref="C44:C47"/>
    <mergeCell ref="H44:H47"/>
    <mergeCell ref="I44:I47"/>
    <mergeCell ref="J44:J47"/>
    <mergeCell ref="K44:K47"/>
    <mergeCell ref="L44:L47"/>
    <mergeCell ref="M44:M47"/>
    <mergeCell ref="N44:N47"/>
    <mergeCell ref="AA36:AA39"/>
    <mergeCell ref="AB36:AB39"/>
    <mergeCell ref="AC36:AC39"/>
    <mergeCell ref="AD36:AD39"/>
    <mergeCell ref="AE36:AE39"/>
    <mergeCell ref="B40:B43"/>
    <mergeCell ref="C40:C43"/>
    <mergeCell ref="H40:H43"/>
    <mergeCell ref="I40:I43"/>
    <mergeCell ref="J40:J43"/>
    <mergeCell ref="U36:U39"/>
    <mergeCell ref="V36:V39"/>
    <mergeCell ref="W36:W39"/>
    <mergeCell ref="X36:X39"/>
    <mergeCell ref="Y36:Y39"/>
    <mergeCell ref="Z36:Z39"/>
    <mergeCell ref="M36:M39"/>
    <mergeCell ref="N36:N39"/>
    <mergeCell ref="O36:O39"/>
    <mergeCell ref="P36:P39"/>
    <mergeCell ref="Q36:Q39"/>
    <mergeCell ref="T36:T39"/>
    <mergeCell ref="R36:R38"/>
    <mergeCell ref="AE40:AE43"/>
    <mergeCell ref="AC32:AC35"/>
    <mergeCell ref="AD32:AD35"/>
    <mergeCell ref="AE32:AE35"/>
    <mergeCell ref="B36:B39"/>
    <mergeCell ref="C36:C39"/>
    <mergeCell ref="H36:H39"/>
    <mergeCell ref="I36:I39"/>
    <mergeCell ref="J36:J39"/>
    <mergeCell ref="K36:K39"/>
    <mergeCell ref="L36:L39"/>
    <mergeCell ref="W32:W35"/>
    <mergeCell ref="X32:X35"/>
    <mergeCell ref="Y32:Y35"/>
    <mergeCell ref="Z32:Z35"/>
    <mergeCell ref="AA32:AA35"/>
    <mergeCell ref="AB32:AB35"/>
    <mergeCell ref="O32:O35"/>
    <mergeCell ref="P32:P35"/>
    <mergeCell ref="Q32:Q35"/>
    <mergeCell ref="T32:T35"/>
    <mergeCell ref="U32:U35"/>
    <mergeCell ref="V32:V35"/>
    <mergeCell ref="R32:R35"/>
    <mergeCell ref="S32:S35"/>
    <mergeCell ref="AE28:AE31"/>
    <mergeCell ref="B32:B35"/>
    <mergeCell ref="C32:C35"/>
    <mergeCell ref="H32:H35"/>
    <mergeCell ref="I32:I35"/>
    <mergeCell ref="J32:J35"/>
    <mergeCell ref="K32:K35"/>
    <mergeCell ref="L32:L35"/>
    <mergeCell ref="M32:M35"/>
    <mergeCell ref="N32:N35"/>
    <mergeCell ref="Y28:Y31"/>
    <mergeCell ref="Z28:Z31"/>
    <mergeCell ref="AA28:AA31"/>
    <mergeCell ref="AB28:AB31"/>
    <mergeCell ref="AC28:AC31"/>
    <mergeCell ref="AD28:AD31"/>
    <mergeCell ref="Q28:Q31"/>
    <mergeCell ref="T28:T31"/>
    <mergeCell ref="U28:U31"/>
    <mergeCell ref="V28:V31"/>
    <mergeCell ref="W28:W31"/>
    <mergeCell ref="X28:X31"/>
    <mergeCell ref="R28:R30"/>
    <mergeCell ref="S28:S30"/>
    <mergeCell ref="O28:O31"/>
    <mergeCell ref="P28:P31"/>
    <mergeCell ref="AA24:AA27"/>
    <mergeCell ref="AB24:AB27"/>
    <mergeCell ref="AC24:AC27"/>
    <mergeCell ref="AD24:AD27"/>
    <mergeCell ref="AE24:AE27"/>
    <mergeCell ref="B28:B31"/>
    <mergeCell ref="C28:C31"/>
    <mergeCell ref="H28:H31"/>
    <mergeCell ref="I28:I31"/>
    <mergeCell ref="J28:J31"/>
    <mergeCell ref="U24:U27"/>
    <mergeCell ref="V24:V27"/>
    <mergeCell ref="W24:W27"/>
    <mergeCell ref="X24:X27"/>
    <mergeCell ref="Y24:Y27"/>
    <mergeCell ref="Z24:Z27"/>
    <mergeCell ref="M24:M27"/>
    <mergeCell ref="N24:N27"/>
    <mergeCell ref="O24:O27"/>
    <mergeCell ref="P24:P27"/>
    <mergeCell ref="Q24:Q27"/>
    <mergeCell ref="T24:T27"/>
    <mergeCell ref="R24:R27"/>
    <mergeCell ref="S24:S27"/>
    <mergeCell ref="AC20:AC23"/>
    <mergeCell ref="AD20:AD23"/>
    <mergeCell ref="AE20:AE23"/>
    <mergeCell ref="B24:B27"/>
    <mergeCell ref="C24:C27"/>
    <mergeCell ref="H24:H27"/>
    <mergeCell ref="I24:I27"/>
    <mergeCell ref="J24:J27"/>
    <mergeCell ref="K24:K27"/>
    <mergeCell ref="L24:L27"/>
    <mergeCell ref="W20:W23"/>
    <mergeCell ref="X20:X23"/>
    <mergeCell ref="Y20:Y23"/>
    <mergeCell ref="Z20:Z23"/>
    <mergeCell ref="AA20:AA23"/>
    <mergeCell ref="AB20:AB23"/>
    <mergeCell ref="O20:O23"/>
    <mergeCell ref="P20:P23"/>
    <mergeCell ref="Q20:Q23"/>
    <mergeCell ref="T20:T23"/>
    <mergeCell ref="U20:U23"/>
    <mergeCell ref="V20:V23"/>
    <mergeCell ref="B20:B23"/>
    <mergeCell ref="C20:C23"/>
    <mergeCell ref="H20:H23"/>
    <mergeCell ref="I20:I23"/>
    <mergeCell ref="J20:J23"/>
    <mergeCell ref="K20:K23"/>
    <mergeCell ref="L20:L23"/>
    <mergeCell ref="M20:M23"/>
    <mergeCell ref="N20:N23"/>
    <mergeCell ref="L16:L19"/>
    <mergeCell ref="M16:M19"/>
    <mergeCell ref="N16:N19"/>
    <mergeCell ref="O16:O19"/>
    <mergeCell ref="P16:P19"/>
    <mergeCell ref="AA12:AA15"/>
    <mergeCell ref="R20:R22"/>
    <mergeCell ref="S20:S22"/>
    <mergeCell ref="AE16:AE19"/>
    <mergeCell ref="Y16:Y19"/>
    <mergeCell ref="Z16:Z19"/>
    <mergeCell ref="AA16:AA19"/>
    <mergeCell ref="AB16:AB19"/>
    <mergeCell ref="AC16:AC19"/>
    <mergeCell ref="AD16:AD19"/>
    <mergeCell ref="Q16:Q19"/>
    <mergeCell ref="T16:T19"/>
    <mergeCell ref="U16:U19"/>
    <mergeCell ref="V16:V19"/>
    <mergeCell ref="W16:W19"/>
    <mergeCell ref="X16:X19"/>
    <mergeCell ref="T12:T15"/>
    <mergeCell ref="AB12:AB15"/>
    <mergeCell ref="AC12:AC15"/>
    <mergeCell ref="AD12:AD15"/>
    <mergeCell ref="AE12:AE15"/>
    <mergeCell ref="B16:B19"/>
    <mergeCell ref="C16:C19"/>
    <mergeCell ref="H16:H19"/>
    <mergeCell ref="I16:I19"/>
    <mergeCell ref="J16:J19"/>
    <mergeCell ref="U12:U15"/>
    <mergeCell ref="V12:V15"/>
    <mergeCell ref="W12:W15"/>
    <mergeCell ref="X12:X15"/>
    <mergeCell ref="Y12:Y15"/>
    <mergeCell ref="Z12:Z15"/>
    <mergeCell ref="L12:L15"/>
    <mergeCell ref="M12:M15"/>
    <mergeCell ref="N12:N15"/>
    <mergeCell ref="O12:O15"/>
    <mergeCell ref="P12:P15"/>
    <mergeCell ref="Q12:Q15"/>
    <mergeCell ref="R16:R19"/>
    <mergeCell ref="S16:S19"/>
    <mergeCell ref="K16:K19"/>
    <mergeCell ref="J4:J7"/>
    <mergeCell ref="K4:K7"/>
    <mergeCell ref="AB8:AB11"/>
    <mergeCell ref="AC8:AC11"/>
    <mergeCell ref="AD8:AD11"/>
    <mergeCell ref="AE8:AE11"/>
    <mergeCell ref="B12:B15"/>
    <mergeCell ref="C12:C15"/>
    <mergeCell ref="H12:H15"/>
    <mergeCell ref="I12:I15"/>
    <mergeCell ref="J12:J15"/>
    <mergeCell ref="K12:K15"/>
    <mergeCell ref="V8:V11"/>
    <mergeCell ref="W8:W11"/>
    <mergeCell ref="X8:X11"/>
    <mergeCell ref="Y8:Y11"/>
    <mergeCell ref="Z8:Z11"/>
    <mergeCell ref="AA8:AA11"/>
    <mergeCell ref="N8:N11"/>
    <mergeCell ref="O8:O11"/>
    <mergeCell ref="P8:P11"/>
    <mergeCell ref="Q8:Q11"/>
    <mergeCell ref="T8:T11"/>
    <mergeCell ref="U8:U11"/>
    <mergeCell ref="L8:L11"/>
    <mergeCell ref="M8:M11"/>
    <mergeCell ref="X4:X7"/>
    <mergeCell ref="Y4:Y7"/>
    <mergeCell ref="Z4:Z7"/>
    <mergeCell ref="AA4:AA7"/>
    <mergeCell ref="AB4:AB7"/>
    <mergeCell ref="AC4:AC7"/>
    <mergeCell ref="P4:P7"/>
    <mergeCell ref="Q4:Q7"/>
    <mergeCell ref="T4:T7"/>
    <mergeCell ref="U4:U7"/>
    <mergeCell ref="V4:V7"/>
    <mergeCell ref="W4:W7"/>
    <mergeCell ref="A1:A3"/>
    <mergeCell ref="G1:G3"/>
    <mergeCell ref="H1:AE1"/>
    <mergeCell ref="H2:T2"/>
    <mergeCell ref="U2:W2"/>
    <mergeCell ref="X2:Y2"/>
    <mergeCell ref="Z2:AE2"/>
    <mergeCell ref="L4:L7"/>
    <mergeCell ref="M4:M7"/>
    <mergeCell ref="N4:N7"/>
    <mergeCell ref="O4:O7"/>
    <mergeCell ref="A4:A47"/>
    <mergeCell ref="B4:B7"/>
    <mergeCell ref="C4:C7"/>
    <mergeCell ref="H4:H7"/>
    <mergeCell ref="I4:I7"/>
    <mergeCell ref="AD4:AD7"/>
    <mergeCell ref="AE4:AE7"/>
    <mergeCell ref="B8:B11"/>
    <mergeCell ref="C8:C11"/>
    <mergeCell ref="H8:H11"/>
    <mergeCell ref="I8:I11"/>
    <mergeCell ref="J8:J11"/>
    <mergeCell ref="K8:K1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BU63"/>
  <sheetViews>
    <sheetView topLeftCell="A22" workbookViewId="0">
      <selection activeCell="A5" sqref="A5:A48"/>
    </sheetView>
  </sheetViews>
  <sheetFormatPr defaultColWidth="8" defaultRowHeight="9" x14ac:dyDescent="0.25"/>
  <cols>
    <col min="1" max="1" width="5.7109375" style="28" customWidth="1"/>
    <col min="2" max="6" width="8" style="28"/>
    <col min="7" max="7" width="5.85546875" style="28" customWidth="1"/>
    <col min="8" max="18" width="8" style="28"/>
    <col min="19" max="19" width="9.140625" style="28" customWidth="1"/>
    <col min="20" max="28" width="8" style="28"/>
    <col min="29" max="30" width="6.7109375" style="28" customWidth="1"/>
    <col min="31" max="31" width="6.28515625" style="28" customWidth="1"/>
    <col min="32" max="16384" width="8" style="28"/>
  </cols>
  <sheetData>
    <row r="1" spans="1:31" ht="27" customHeight="1" x14ac:dyDescent="0.25">
      <c r="A1" s="88" t="s">
        <v>63</v>
      </c>
      <c r="B1" s="88"/>
      <c r="C1" s="88"/>
      <c r="D1" s="88"/>
      <c r="E1" s="88"/>
      <c r="F1" s="88"/>
      <c r="G1" s="88"/>
      <c r="H1" s="88"/>
    </row>
    <row r="2" spans="1:31" ht="45.75" customHeight="1" x14ac:dyDescent="0.25">
      <c r="A2" s="52" t="s">
        <v>0</v>
      </c>
      <c r="B2" s="84" t="s">
        <v>1</v>
      </c>
      <c r="C2" s="85"/>
      <c r="D2" s="86"/>
      <c r="E2" s="116" t="s">
        <v>58</v>
      </c>
      <c r="F2" s="111" t="s">
        <v>57</v>
      </c>
      <c r="G2" s="111" t="s">
        <v>2</v>
      </c>
      <c r="H2" s="52" t="s">
        <v>51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1" ht="45.75" customHeight="1" x14ac:dyDescent="0.25">
      <c r="A3" s="52"/>
      <c r="B3" s="56"/>
      <c r="C3" s="57"/>
      <c r="D3" s="87"/>
      <c r="E3" s="117"/>
      <c r="F3" s="112"/>
      <c r="G3" s="112"/>
      <c r="H3" s="100" t="s">
        <v>3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2"/>
      <c r="U3" s="59" t="s">
        <v>4</v>
      </c>
      <c r="V3" s="60"/>
      <c r="W3" s="60"/>
      <c r="X3" s="61" t="s">
        <v>5</v>
      </c>
      <c r="Y3" s="62"/>
      <c r="Z3" s="63" t="s">
        <v>6</v>
      </c>
      <c r="AA3" s="64"/>
      <c r="AB3" s="64"/>
      <c r="AC3" s="64"/>
      <c r="AD3" s="64"/>
      <c r="AE3" s="65"/>
    </row>
    <row r="4" spans="1:31" ht="152.25" customHeight="1" x14ac:dyDescent="0.25">
      <c r="A4" s="52"/>
      <c r="B4" s="35" t="s">
        <v>7</v>
      </c>
      <c r="C4" s="35" t="s">
        <v>8</v>
      </c>
      <c r="D4" s="36" t="s">
        <v>59</v>
      </c>
      <c r="E4" s="118"/>
      <c r="F4" s="113"/>
      <c r="G4" s="113"/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33" t="s">
        <v>17</v>
      </c>
      <c r="Q4" s="33" t="s">
        <v>18</v>
      </c>
      <c r="R4" s="33" t="s">
        <v>55</v>
      </c>
      <c r="S4" s="33" t="s">
        <v>56</v>
      </c>
      <c r="T4" s="33" t="s">
        <v>53</v>
      </c>
      <c r="U4" s="4" t="s">
        <v>19</v>
      </c>
      <c r="V4" s="4" t="s">
        <v>20</v>
      </c>
      <c r="W4" s="4" t="s">
        <v>21</v>
      </c>
      <c r="X4" s="5" t="s">
        <v>22</v>
      </c>
      <c r="Y4" s="5" t="s">
        <v>23</v>
      </c>
      <c r="Z4" s="6" t="s">
        <v>24</v>
      </c>
      <c r="AA4" s="6" t="s">
        <v>25</v>
      </c>
      <c r="AB4" s="6" t="s">
        <v>26</v>
      </c>
      <c r="AC4" s="6" t="s">
        <v>27</v>
      </c>
      <c r="AD4" s="6" t="s">
        <v>52</v>
      </c>
      <c r="AE4" s="6" t="s">
        <v>28</v>
      </c>
    </row>
    <row r="5" spans="1:31" s="17" customFormat="1" ht="22.5" customHeight="1" x14ac:dyDescent="0.25">
      <c r="A5" s="70">
        <v>896</v>
      </c>
      <c r="B5" s="73" t="s">
        <v>34</v>
      </c>
      <c r="C5" s="78">
        <v>50</v>
      </c>
      <c r="D5" s="45">
        <v>80</v>
      </c>
      <c r="E5" s="41" t="s">
        <v>60</v>
      </c>
      <c r="F5" s="42">
        <f>D5/147</f>
        <v>0.54421768707482998</v>
      </c>
      <c r="G5" s="70">
        <v>3099</v>
      </c>
      <c r="H5" s="66">
        <v>1518</v>
      </c>
      <c r="I5" s="66">
        <v>1288</v>
      </c>
      <c r="J5" s="66">
        <v>1104</v>
      </c>
      <c r="K5" s="66">
        <v>752</v>
      </c>
      <c r="L5" s="66">
        <v>437</v>
      </c>
      <c r="M5" s="66">
        <v>250</v>
      </c>
      <c r="N5" s="66">
        <v>966</v>
      </c>
      <c r="O5" s="67">
        <v>920</v>
      </c>
      <c r="P5" s="66">
        <v>184</v>
      </c>
      <c r="Q5" s="66">
        <v>736</v>
      </c>
      <c r="R5" s="67">
        <v>665</v>
      </c>
      <c r="S5" s="67">
        <v>3680</v>
      </c>
      <c r="T5" s="67">
        <v>0</v>
      </c>
      <c r="U5" s="67">
        <v>4784</v>
      </c>
      <c r="V5" s="66">
        <v>4140</v>
      </c>
      <c r="W5" s="67">
        <v>58</v>
      </c>
      <c r="X5" s="66">
        <v>0</v>
      </c>
      <c r="Y5" s="66">
        <v>1035</v>
      </c>
      <c r="Z5" s="66">
        <v>86</v>
      </c>
      <c r="AA5" s="66">
        <v>24</v>
      </c>
      <c r="AB5" s="66">
        <v>65</v>
      </c>
      <c r="AC5" s="67">
        <v>20</v>
      </c>
      <c r="AD5" s="67">
        <v>0</v>
      </c>
      <c r="AE5" s="66">
        <v>70</v>
      </c>
    </row>
    <row r="6" spans="1:31" s="17" customFormat="1" ht="24.75" customHeight="1" x14ac:dyDescent="0.25">
      <c r="A6" s="71"/>
      <c r="B6" s="73"/>
      <c r="C6" s="79"/>
      <c r="D6" s="45">
        <v>4</v>
      </c>
      <c r="E6" s="41" t="s">
        <v>5</v>
      </c>
      <c r="F6" s="42">
        <f>D6/147</f>
        <v>2.7210884353741496E-2</v>
      </c>
      <c r="G6" s="71"/>
      <c r="H6" s="66"/>
      <c r="I6" s="66"/>
      <c r="J6" s="66"/>
      <c r="K6" s="66"/>
      <c r="L6" s="66"/>
      <c r="M6" s="66"/>
      <c r="N6" s="66"/>
      <c r="O6" s="68"/>
      <c r="P6" s="66"/>
      <c r="Q6" s="66"/>
      <c r="R6" s="68"/>
      <c r="S6" s="68"/>
      <c r="T6" s="68"/>
      <c r="U6" s="68"/>
      <c r="V6" s="66"/>
      <c r="W6" s="68"/>
      <c r="X6" s="66"/>
      <c r="Y6" s="66"/>
      <c r="Z6" s="66"/>
      <c r="AA6" s="66"/>
      <c r="AB6" s="66"/>
      <c r="AC6" s="68"/>
      <c r="AD6" s="68"/>
      <c r="AE6" s="66"/>
    </row>
    <row r="7" spans="1:31" s="17" customFormat="1" ht="11.25" x14ac:dyDescent="0.25">
      <c r="A7" s="71"/>
      <c r="B7" s="73"/>
      <c r="C7" s="79"/>
      <c r="D7" s="45">
        <v>30</v>
      </c>
      <c r="E7" s="41" t="s">
        <v>6</v>
      </c>
      <c r="F7" s="42">
        <f>D7/147</f>
        <v>0.20408163265306123</v>
      </c>
      <c r="G7" s="71"/>
      <c r="H7" s="66"/>
      <c r="I7" s="66"/>
      <c r="J7" s="66"/>
      <c r="K7" s="66"/>
      <c r="L7" s="66"/>
      <c r="M7" s="66"/>
      <c r="N7" s="66"/>
      <c r="O7" s="68"/>
      <c r="P7" s="66"/>
      <c r="Q7" s="66"/>
      <c r="R7" s="68"/>
      <c r="S7" s="68"/>
      <c r="T7" s="68"/>
      <c r="U7" s="68"/>
      <c r="V7" s="66"/>
      <c r="W7" s="68"/>
      <c r="X7" s="66"/>
      <c r="Y7" s="66"/>
      <c r="Z7" s="66"/>
      <c r="AA7" s="66"/>
      <c r="AB7" s="66"/>
      <c r="AC7" s="68"/>
      <c r="AD7" s="68"/>
      <c r="AE7" s="66"/>
    </row>
    <row r="8" spans="1:31" s="17" customFormat="1" ht="22.5" x14ac:dyDescent="0.25">
      <c r="A8" s="71"/>
      <c r="B8" s="73"/>
      <c r="C8" s="80"/>
      <c r="D8" s="45">
        <v>33</v>
      </c>
      <c r="E8" s="41" t="s">
        <v>4</v>
      </c>
      <c r="F8" s="42">
        <f>D8/147</f>
        <v>0.22448979591836735</v>
      </c>
      <c r="G8" s="71"/>
      <c r="H8" s="66"/>
      <c r="I8" s="66"/>
      <c r="J8" s="66"/>
      <c r="K8" s="66"/>
      <c r="L8" s="66"/>
      <c r="M8" s="66"/>
      <c r="N8" s="66"/>
      <c r="O8" s="69"/>
      <c r="P8" s="66"/>
      <c r="Q8" s="66"/>
      <c r="R8" s="69"/>
      <c r="S8" s="69"/>
      <c r="T8" s="69"/>
      <c r="U8" s="69"/>
      <c r="V8" s="66"/>
      <c r="W8" s="69"/>
      <c r="X8" s="66"/>
      <c r="Y8" s="66"/>
      <c r="Z8" s="66"/>
      <c r="AA8" s="66"/>
      <c r="AB8" s="66"/>
      <c r="AC8" s="69"/>
      <c r="AD8" s="69"/>
      <c r="AE8" s="66"/>
    </row>
    <row r="9" spans="1:31" s="17" customFormat="1" ht="33.75" customHeight="1" x14ac:dyDescent="0.25">
      <c r="A9" s="71"/>
      <c r="B9" s="73" t="s">
        <v>61</v>
      </c>
      <c r="C9" s="78">
        <v>40</v>
      </c>
      <c r="D9" s="44">
        <v>97</v>
      </c>
      <c r="E9" s="41" t="s">
        <v>60</v>
      </c>
      <c r="F9" s="43">
        <f>D9/137</f>
        <v>0.70802919708029199</v>
      </c>
      <c r="G9" s="71"/>
      <c r="H9" s="77">
        <v>1556</v>
      </c>
      <c r="I9" s="77">
        <v>1010</v>
      </c>
      <c r="J9" s="77">
        <v>1288</v>
      </c>
      <c r="K9" s="77">
        <v>274</v>
      </c>
      <c r="L9" s="77">
        <v>1076</v>
      </c>
      <c r="M9" s="77">
        <v>612</v>
      </c>
      <c r="N9" s="77">
        <v>1188</v>
      </c>
      <c r="O9" s="77">
        <v>1098</v>
      </c>
      <c r="P9" s="77">
        <v>318</v>
      </c>
      <c r="Q9" s="78">
        <v>1514</v>
      </c>
      <c r="R9" s="78">
        <v>418</v>
      </c>
      <c r="S9" s="78">
        <v>1834</v>
      </c>
      <c r="T9" s="78">
        <v>0</v>
      </c>
      <c r="U9" s="78">
        <v>4314</v>
      </c>
      <c r="V9" s="77">
        <v>2662</v>
      </c>
      <c r="W9" s="78">
        <v>0</v>
      </c>
      <c r="X9" s="77">
        <v>239</v>
      </c>
      <c r="Y9" s="77">
        <v>366</v>
      </c>
      <c r="Z9" s="77">
        <v>92</v>
      </c>
      <c r="AA9" s="77">
        <v>13</v>
      </c>
      <c r="AB9" s="77">
        <v>18</v>
      </c>
      <c r="AC9" s="78">
        <v>0</v>
      </c>
      <c r="AD9" s="97">
        <v>0</v>
      </c>
      <c r="AE9" s="77">
        <v>0</v>
      </c>
    </row>
    <row r="10" spans="1:31" s="17" customFormat="1" ht="22.5" x14ac:dyDescent="0.25">
      <c r="A10" s="71"/>
      <c r="B10" s="73"/>
      <c r="C10" s="79"/>
      <c r="D10" s="44">
        <v>3</v>
      </c>
      <c r="E10" s="41" t="s">
        <v>5</v>
      </c>
      <c r="F10" s="43">
        <f>D10/137</f>
        <v>2.1897810218978103E-2</v>
      </c>
      <c r="G10" s="71"/>
      <c r="H10" s="77"/>
      <c r="I10" s="77"/>
      <c r="J10" s="77"/>
      <c r="K10" s="77"/>
      <c r="L10" s="77"/>
      <c r="M10" s="77"/>
      <c r="N10" s="77"/>
      <c r="O10" s="77"/>
      <c r="P10" s="77"/>
      <c r="Q10" s="79"/>
      <c r="R10" s="79"/>
      <c r="S10" s="79"/>
      <c r="T10" s="79"/>
      <c r="U10" s="79"/>
      <c r="V10" s="77"/>
      <c r="W10" s="79"/>
      <c r="X10" s="77"/>
      <c r="Y10" s="77"/>
      <c r="Z10" s="77"/>
      <c r="AA10" s="77"/>
      <c r="AB10" s="77"/>
      <c r="AC10" s="79"/>
      <c r="AD10" s="98"/>
      <c r="AE10" s="77"/>
    </row>
    <row r="11" spans="1:31" s="17" customFormat="1" ht="11.25" x14ac:dyDescent="0.25">
      <c r="A11" s="71"/>
      <c r="B11" s="73"/>
      <c r="C11" s="79"/>
      <c r="D11" s="44">
        <v>14</v>
      </c>
      <c r="E11" s="41" t="s">
        <v>6</v>
      </c>
      <c r="F11" s="43">
        <f>D11/137</f>
        <v>0.10218978102189781</v>
      </c>
      <c r="G11" s="71"/>
      <c r="H11" s="77"/>
      <c r="I11" s="77"/>
      <c r="J11" s="77"/>
      <c r="K11" s="77"/>
      <c r="L11" s="77"/>
      <c r="M11" s="77"/>
      <c r="N11" s="77"/>
      <c r="O11" s="77"/>
      <c r="P11" s="77"/>
      <c r="Q11" s="79"/>
      <c r="R11" s="79"/>
      <c r="S11" s="79"/>
      <c r="T11" s="79"/>
      <c r="U11" s="79"/>
      <c r="V11" s="77"/>
      <c r="W11" s="79"/>
      <c r="X11" s="77"/>
      <c r="Y11" s="77"/>
      <c r="Z11" s="77"/>
      <c r="AA11" s="77"/>
      <c r="AB11" s="77"/>
      <c r="AC11" s="79"/>
      <c r="AD11" s="98"/>
      <c r="AE11" s="77"/>
    </row>
    <row r="12" spans="1:31" s="17" customFormat="1" ht="22.5" x14ac:dyDescent="0.25">
      <c r="A12" s="71"/>
      <c r="B12" s="73"/>
      <c r="C12" s="80"/>
      <c r="D12" s="44">
        <v>23</v>
      </c>
      <c r="E12" s="41" t="s">
        <v>4</v>
      </c>
      <c r="F12" s="43">
        <f>D12/137</f>
        <v>0.16788321167883211</v>
      </c>
      <c r="G12" s="71"/>
      <c r="H12" s="77"/>
      <c r="I12" s="77"/>
      <c r="J12" s="77"/>
      <c r="K12" s="77"/>
      <c r="L12" s="77"/>
      <c r="M12" s="77"/>
      <c r="N12" s="77"/>
      <c r="O12" s="77"/>
      <c r="P12" s="77"/>
      <c r="Q12" s="80"/>
      <c r="R12" s="80"/>
      <c r="S12" s="80"/>
      <c r="T12" s="80"/>
      <c r="U12" s="80"/>
      <c r="V12" s="77"/>
      <c r="W12" s="80"/>
      <c r="X12" s="77"/>
      <c r="Y12" s="77"/>
      <c r="Z12" s="77"/>
      <c r="AA12" s="77"/>
      <c r="AB12" s="77"/>
      <c r="AC12" s="80"/>
      <c r="AD12" s="99"/>
      <c r="AE12" s="77"/>
    </row>
    <row r="13" spans="1:31" s="17" customFormat="1" ht="33.75" x14ac:dyDescent="0.25">
      <c r="A13" s="71"/>
      <c r="B13" s="73" t="s">
        <v>31</v>
      </c>
      <c r="C13" s="78">
        <v>192</v>
      </c>
      <c r="D13" s="44">
        <v>519</v>
      </c>
      <c r="E13" s="41" t="s">
        <v>60</v>
      </c>
      <c r="F13" s="43">
        <f>D13/704</f>
        <v>0.73721590909090906</v>
      </c>
      <c r="G13" s="71"/>
      <c r="H13" s="77">
        <v>15406</v>
      </c>
      <c r="I13" s="77">
        <v>11496</v>
      </c>
      <c r="J13" s="77">
        <v>6055</v>
      </c>
      <c r="K13" s="77">
        <v>5626</v>
      </c>
      <c r="L13" s="77">
        <v>5082</v>
      </c>
      <c r="M13" s="77">
        <v>3459</v>
      </c>
      <c r="N13" s="77">
        <v>6433</v>
      </c>
      <c r="O13" s="77">
        <v>4556</v>
      </c>
      <c r="P13" s="77">
        <v>3442</v>
      </c>
      <c r="Q13" s="78">
        <v>10724</v>
      </c>
      <c r="R13" s="78">
        <v>4059</v>
      </c>
      <c r="S13" s="78">
        <v>27067</v>
      </c>
      <c r="T13" s="78">
        <v>253</v>
      </c>
      <c r="U13" s="78">
        <v>20039</v>
      </c>
      <c r="V13" s="77">
        <v>16852</v>
      </c>
      <c r="W13" s="78">
        <v>0</v>
      </c>
      <c r="X13" s="77">
        <v>552</v>
      </c>
      <c r="Y13" s="77">
        <v>1651</v>
      </c>
      <c r="Z13" s="77">
        <v>92</v>
      </c>
      <c r="AA13" s="77">
        <v>84</v>
      </c>
      <c r="AB13" s="77">
        <v>232</v>
      </c>
      <c r="AC13" s="78">
        <v>0</v>
      </c>
      <c r="AD13" s="97">
        <v>9</v>
      </c>
      <c r="AE13" s="77">
        <v>51</v>
      </c>
    </row>
    <row r="14" spans="1:31" s="17" customFormat="1" ht="22.5" x14ac:dyDescent="0.25">
      <c r="A14" s="71"/>
      <c r="B14" s="73"/>
      <c r="C14" s="79"/>
      <c r="D14" s="44">
        <v>12</v>
      </c>
      <c r="E14" s="41" t="s">
        <v>5</v>
      </c>
      <c r="F14" s="43">
        <f>D14/704</f>
        <v>1.7045454545454544E-2</v>
      </c>
      <c r="G14" s="71"/>
      <c r="H14" s="77"/>
      <c r="I14" s="77"/>
      <c r="J14" s="77"/>
      <c r="K14" s="77"/>
      <c r="L14" s="77"/>
      <c r="M14" s="77"/>
      <c r="N14" s="77"/>
      <c r="O14" s="77"/>
      <c r="P14" s="77"/>
      <c r="Q14" s="79"/>
      <c r="R14" s="79"/>
      <c r="S14" s="79"/>
      <c r="T14" s="79"/>
      <c r="U14" s="79"/>
      <c r="V14" s="77"/>
      <c r="W14" s="79"/>
      <c r="X14" s="77"/>
      <c r="Y14" s="77"/>
      <c r="Z14" s="77"/>
      <c r="AA14" s="77"/>
      <c r="AB14" s="77"/>
      <c r="AC14" s="79"/>
      <c r="AD14" s="98"/>
      <c r="AE14" s="77"/>
    </row>
    <row r="15" spans="1:31" s="17" customFormat="1" ht="11.25" x14ac:dyDescent="0.25">
      <c r="A15" s="71"/>
      <c r="B15" s="73"/>
      <c r="C15" s="79"/>
      <c r="D15" s="44">
        <v>71</v>
      </c>
      <c r="E15" s="41" t="s">
        <v>6</v>
      </c>
      <c r="F15" s="43">
        <f>D15/704</f>
        <v>0.10085227272727272</v>
      </c>
      <c r="G15" s="71"/>
      <c r="H15" s="77"/>
      <c r="I15" s="77"/>
      <c r="J15" s="77"/>
      <c r="K15" s="77"/>
      <c r="L15" s="77"/>
      <c r="M15" s="77"/>
      <c r="N15" s="77"/>
      <c r="O15" s="77"/>
      <c r="P15" s="77"/>
      <c r="Q15" s="79"/>
      <c r="R15" s="79"/>
      <c r="S15" s="79"/>
      <c r="T15" s="79"/>
      <c r="U15" s="79"/>
      <c r="V15" s="77"/>
      <c r="W15" s="79"/>
      <c r="X15" s="77"/>
      <c r="Y15" s="77"/>
      <c r="Z15" s="77"/>
      <c r="AA15" s="77"/>
      <c r="AB15" s="77"/>
      <c r="AC15" s="79"/>
      <c r="AD15" s="98"/>
      <c r="AE15" s="77"/>
    </row>
    <row r="16" spans="1:31" s="17" customFormat="1" ht="22.5" x14ac:dyDescent="0.25">
      <c r="A16" s="71"/>
      <c r="B16" s="73"/>
      <c r="C16" s="80"/>
      <c r="D16" s="44">
        <v>102</v>
      </c>
      <c r="E16" s="41" t="s">
        <v>4</v>
      </c>
      <c r="F16" s="43">
        <f>D16/704</f>
        <v>0.14488636363636365</v>
      </c>
      <c r="G16" s="71"/>
      <c r="H16" s="77"/>
      <c r="I16" s="77"/>
      <c r="J16" s="77"/>
      <c r="K16" s="77"/>
      <c r="L16" s="77"/>
      <c r="M16" s="77"/>
      <c r="N16" s="77"/>
      <c r="O16" s="77"/>
      <c r="P16" s="77"/>
      <c r="Q16" s="80"/>
      <c r="R16" s="80"/>
      <c r="S16" s="80"/>
      <c r="T16" s="80"/>
      <c r="U16" s="80"/>
      <c r="V16" s="77"/>
      <c r="W16" s="80"/>
      <c r="X16" s="77"/>
      <c r="Y16" s="77"/>
      <c r="Z16" s="77"/>
      <c r="AA16" s="77"/>
      <c r="AB16" s="77"/>
      <c r="AC16" s="80"/>
      <c r="AD16" s="99"/>
      <c r="AE16" s="77"/>
    </row>
    <row r="17" spans="1:73" s="17" customFormat="1" ht="32.25" customHeight="1" x14ac:dyDescent="0.25">
      <c r="A17" s="71"/>
      <c r="B17" s="73" t="s">
        <v>36</v>
      </c>
      <c r="C17" s="78">
        <v>101</v>
      </c>
      <c r="D17" s="44">
        <v>325</v>
      </c>
      <c r="E17" s="41" t="s">
        <v>60</v>
      </c>
      <c r="F17" s="43">
        <f>D17/489</f>
        <v>0.66462167689161555</v>
      </c>
      <c r="G17" s="71"/>
      <c r="H17" s="77">
        <v>7455</v>
      </c>
      <c r="I17" s="77">
        <v>7850</v>
      </c>
      <c r="J17" s="77">
        <v>2644</v>
      </c>
      <c r="K17" s="77">
        <v>1901</v>
      </c>
      <c r="L17" s="77">
        <v>4098</v>
      </c>
      <c r="M17" s="77">
        <v>1865</v>
      </c>
      <c r="N17" s="77">
        <v>4220</v>
      </c>
      <c r="O17" s="77">
        <v>2120</v>
      </c>
      <c r="P17" s="77">
        <v>1242</v>
      </c>
      <c r="Q17" s="78">
        <v>4504</v>
      </c>
      <c r="R17" s="78">
        <v>1940</v>
      </c>
      <c r="S17" s="78">
        <v>14838</v>
      </c>
      <c r="T17" s="78">
        <v>598</v>
      </c>
      <c r="U17" s="78">
        <v>16607</v>
      </c>
      <c r="V17" s="77">
        <v>10493</v>
      </c>
      <c r="W17" s="78">
        <v>0</v>
      </c>
      <c r="X17" s="77">
        <v>180</v>
      </c>
      <c r="Y17" s="77">
        <v>1941</v>
      </c>
      <c r="Z17" s="77">
        <v>90</v>
      </c>
      <c r="AA17" s="77">
        <v>36</v>
      </c>
      <c r="AB17" s="77">
        <v>126</v>
      </c>
      <c r="AC17" s="78">
        <v>0</v>
      </c>
      <c r="AD17" s="78">
        <v>6</v>
      </c>
      <c r="AE17" s="77">
        <v>30</v>
      </c>
    </row>
    <row r="18" spans="1:73" s="17" customFormat="1" ht="21" customHeight="1" x14ac:dyDescent="0.25">
      <c r="A18" s="71"/>
      <c r="B18" s="73"/>
      <c r="C18" s="79"/>
      <c r="D18" s="44">
        <v>14</v>
      </c>
      <c r="E18" s="41" t="s">
        <v>5</v>
      </c>
      <c r="F18" s="43">
        <f>D18/489</f>
        <v>2.8629856850715747E-2</v>
      </c>
      <c r="G18" s="71"/>
      <c r="H18" s="77"/>
      <c r="I18" s="77"/>
      <c r="J18" s="77"/>
      <c r="K18" s="77"/>
      <c r="L18" s="77"/>
      <c r="M18" s="77"/>
      <c r="N18" s="77"/>
      <c r="O18" s="77"/>
      <c r="P18" s="77"/>
      <c r="Q18" s="79"/>
      <c r="R18" s="79"/>
      <c r="S18" s="79"/>
      <c r="T18" s="79"/>
      <c r="U18" s="79"/>
      <c r="V18" s="77"/>
      <c r="W18" s="79"/>
      <c r="X18" s="77"/>
      <c r="Y18" s="77"/>
      <c r="Z18" s="77"/>
      <c r="AA18" s="77"/>
      <c r="AB18" s="77"/>
      <c r="AC18" s="79"/>
      <c r="AD18" s="79"/>
      <c r="AE18" s="77"/>
    </row>
    <row r="19" spans="1:73" s="17" customFormat="1" ht="11.25" x14ac:dyDescent="0.25">
      <c r="A19" s="71"/>
      <c r="B19" s="73"/>
      <c r="C19" s="79"/>
      <c r="D19" s="44">
        <v>45</v>
      </c>
      <c r="E19" s="41" t="s">
        <v>6</v>
      </c>
      <c r="F19" s="43">
        <f>D19/489</f>
        <v>9.202453987730061E-2</v>
      </c>
      <c r="G19" s="71"/>
      <c r="H19" s="77"/>
      <c r="I19" s="77"/>
      <c r="J19" s="77"/>
      <c r="K19" s="77"/>
      <c r="L19" s="77"/>
      <c r="M19" s="77"/>
      <c r="N19" s="77"/>
      <c r="O19" s="77"/>
      <c r="P19" s="77"/>
      <c r="Q19" s="79"/>
      <c r="R19" s="79"/>
      <c r="S19" s="79"/>
      <c r="T19" s="79"/>
      <c r="U19" s="79"/>
      <c r="V19" s="77"/>
      <c r="W19" s="79"/>
      <c r="X19" s="77"/>
      <c r="Y19" s="77"/>
      <c r="Z19" s="77"/>
      <c r="AA19" s="77"/>
      <c r="AB19" s="77"/>
      <c r="AC19" s="79"/>
      <c r="AD19" s="79"/>
      <c r="AE19" s="77"/>
    </row>
    <row r="20" spans="1:73" s="17" customFormat="1" ht="22.5" x14ac:dyDescent="0.25">
      <c r="A20" s="71"/>
      <c r="B20" s="73"/>
      <c r="C20" s="80"/>
      <c r="D20" s="44">
        <v>105</v>
      </c>
      <c r="E20" s="41" t="s">
        <v>4</v>
      </c>
      <c r="F20" s="43">
        <f>D20/489</f>
        <v>0.21472392638036811</v>
      </c>
      <c r="G20" s="71"/>
      <c r="H20" s="77"/>
      <c r="I20" s="77"/>
      <c r="J20" s="77"/>
      <c r="K20" s="77"/>
      <c r="L20" s="77"/>
      <c r="M20" s="77"/>
      <c r="N20" s="77"/>
      <c r="O20" s="77"/>
      <c r="P20" s="77"/>
      <c r="Q20" s="80"/>
      <c r="R20" s="80"/>
      <c r="S20" s="80"/>
      <c r="T20" s="80"/>
      <c r="U20" s="80"/>
      <c r="V20" s="77"/>
      <c r="W20" s="80"/>
      <c r="X20" s="77"/>
      <c r="Y20" s="77"/>
      <c r="Z20" s="77"/>
      <c r="AA20" s="77"/>
      <c r="AB20" s="77"/>
      <c r="AC20" s="80"/>
      <c r="AD20" s="80"/>
      <c r="AE20" s="77"/>
    </row>
    <row r="21" spans="1:73" s="34" customFormat="1" ht="47.25" customHeight="1" x14ac:dyDescent="0.25">
      <c r="A21" s="71"/>
      <c r="B21" s="73" t="s">
        <v>37</v>
      </c>
      <c r="C21" s="78">
        <v>45</v>
      </c>
      <c r="D21" s="45">
        <v>154</v>
      </c>
      <c r="E21" s="41" t="s">
        <v>60</v>
      </c>
      <c r="F21" s="43">
        <f>D21/184</f>
        <v>0.83695652173913049</v>
      </c>
      <c r="G21" s="71"/>
      <c r="H21" s="77">
        <v>2821</v>
      </c>
      <c r="I21" s="77">
        <v>1104</v>
      </c>
      <c r="J21" s="77">
        <v>1196</v>
      </c>
      <c r="K21" s="77">
        <v>552</v>
      </c>
      <c r="L21" s="77">
        <v>1198</v>
      </c>
      <c r="M21" s="77">
        <v>912</v>
      </c>
      <c r="N21" s="77">
        <v>1792</v>
      </c>
      <c r="O21" s="77">
        <v>1288</v>
      </c>
      <c r="P21" s="77">
        <v>92</v>
      </c>
      <c r="Q21" s="78">
        <v>2272</v>
      </c>
      <c r="R21" s="78">
        <v>215</v>
      </c>
      <c r="S21" s="78">
        <v>4826</v>
      </c>
      <c r="T21" s="78">
        <v>0</v>
      </c>
      <c r="U21" s="78">
        <v>3790</v>
      </c>
      <c r="V21" s="77">
        <v>2754</v>
      </c>
      <c r="W21" s="78">
        <v>0</v>
      </c>
      <c r="X21" s="77">
        <v>0</v>
      </c>
      <c r="Y21" s="77">
        <v>276</v>
      </c>
      <c r="Z21" s="77">
        <v>0</v>
      </c>
      <c r="AA21" s="77">
        <v>10</v>
      </c>
      <c r="AB21" s="77">
        <v>27</v>
      </c>
      <c r="AC21" s="78">
        <v>0</v>
      </c>
      <c r="AD21" s="78">
        <v>0</v>
      </c>
      <c r="AE21" s="77">
        <v>355</v>
      </c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</row>
    <row r="22" spans="1:73" s="34" customFormat="1" ht="30" customHeight="1" x14ac:dyDescent="0.25">
      <c r="A22" s="71"/>
      <c r="B22" s="73"/>
      <c r="C22" s="79"/>
      <c r="D22" s="45">
        <v>2</v>
      </c>
      <c r="E22" s="41" t="s">
        <v>5</v>
      </c>
      <c r="F22" s="43">
        <f>D22/184</f>
        <v>1.0869565217391304E-2</v>
      </c>
      <c r="G22" s="71"/>
      <c r="H22" s="77"/>
      <c r="I22" s="77"/>
      <c r="J22" s="77"/>
      <c r="K22" s="77"/>
      <c r="L22" s="77"/>
      <c r="M22" s="77"/>
      <c r="N22" s="77"/>
      <c r="O22" s="77"/>
      <c r="P22" s="77"/>
      <c r="Q22" s="79"/>
      <c r="R22" s="79"/>
      <c r="S22" s="79"/>
      <c r="T22" s="79"/>
      <c r="U22" s="79"/>
      <c r="V22" s="77"/>
      <c r="W22" s="79"/>
      <c r="X22" s="77"/>
      <c r="Y22" s="77"/>
      <c r="Z22" s="77"/>
      <c r="AA22" s="77"/>
      <c r="AB22" s="77"/>
      <c r="AC22" s="79"/>
      <c r="AD22" s="79"/>
      <c r="AE22" s="7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</row>
    <row r="23" spans="1:73" s="34" customFormat="1" ht="11.25" x14ac:dyDescent="0.25">
      <c r="A23" s="71"/>
      <c r="B23" s="73"/>
      <c r="C23" s="79"/>
      <c r="D23" s="45">
        <v>10</v>
      </c>
      <c r="E23" s="41" t="s">
        <v>6</v>
      </c>
      <c r="F23" s="43">
        <f>D23/184</f>
        <v>5.434782608695652E-2</v>
      </c>
      <c r="G23" s="71"/>
      <c r="H23" s="77"/>
      <c r="I23" s="77"/>
      <c r="J23" s="77"/>
      <c r="K23" s="77"/>
      <c r="L23" s="77"/>
      <c r="M23" s="77"/>
      <c r="N23" s="77"/>
      <c r="O23" s="77"/>
      <c r="P23" s="77"/>
      <c r="Q23" s="79"/>
      <c r="R23" s="79"/>
      <c r="S23" s="79"/>
      <c r="T23" s="79"/>
      <c r="U23" s="79"/>
      <c r="V23" s="77"/>
      <c r="W23" s="79"/>
      <c r="X23" s="77"/>
      <c r="Y23" s="77"/>
      <c r="Z23" s="77"/>
      <c r="AA23" s="77"/>
      <c r="AB23" s="77"/>
      <c r="AC23" s="79"/>
      <c r="AD23" s="79"/>
      <c r="AE23" s="7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</row>
    <row r="24" spans="1:73" s="17" customFormat="1" ht="25.5" customHeight="1" x14ac:dyDescent="0.25">
      <c r="A24" s="71"/>
      <c r="B24" s="73"/>
      <c r="C24" s="80"/>
      <c r="D24" s="45">
        <v>18</v>
      </c>
      <c r="E24" s="41" t="s">
        <v>4</v>
      </c>
      <c r="F24" s="43">
        <f>D24/184</f>
        <v>9.7826086956521743E-2</v>
      </c>
      <c r="G24" s="71"/>
      <c r="H24" s="77"/>
      <c r="I24" s="77"/>
      <c r="J24" s="77"/>
      <c r="K24" s="77"/>
      <c r="L24" s="77"/>
      <c r="M24" s="77"/>
      <c r="N24" s="77"/>
      <c r="O24" s="77"/>
      <c r="P24" s="77"/>
      <c r="Q24" s="80"/>
      <c r="R24" s="80"/>
      <c r="S24" s="80"/>
      <c r="T24" s="80"/>
      <c r="U24" s="80"/>
      <c r="V24" s="77"/>
      <c r="W24" s="80"/>
      <c r="X24" s="77"/>
      <c r="Y24" s="77"/>
      <c r="Z24" s="77"/>
      <c r="AA24" s="77"/>
      <c r="AB24" s="77"/>
      <c r="AC24" s="80"/>
      <c r="AD24" s="80"/>
      <c r="AE24" s="77"/>
    </row>
    <row r="25" spans="1:73" s="17" customFormat="1" ht="25.5" customHeight="1" x14ac:dyDescent="0.25">
      <c r="A25" s="71"/>
      <c r="B25" s="73" t="s">
        <v>35</v>
      </c>
      <c r="C25" s="78">
        <v>66</v>
      </c>
      <c r="D25" s="44">
        <v>120</v>
      </c>
      <c r="E25" s="41" t="s">
        <v>60</v>
      </c>
      <c r="F25" s="43">
        <f>D25/167</f>
        <v>0.71856287425149701</v>
      </c>
      <c r="G25" s="71"/>
      <c r="H25" s="77">
        <v>2241</v>
      </c>
      <c r="I25" s="77">
        <v>1450</v>
      </c>
      <c r="J25" s="77">
        <v>1220</v>
      </c>
      <c r="K25" s="77">
        <v>319</v>
      </c>
      <c r="L25" s="78">
        <v>934</v>
      </c>
      <c r="M25" s="78">
        <v>522</v>
      </c>
      <c r="N25" s="78">
        <v>1278</v>
      </c>
      <c r="O25" s="78">
        <v>1558</v>
      </c>
      <c r="P25" s="78">
        <v>640</v>
      </c>
      <c r="Q25" s="78">
        <v>1385</v>
      </c>
      <c r="R25" s="78">
        <v>570</v>
      </c>
      <c r="S25" s="78">
        <v>5445</v>
      </c>
      <c r="T25" s="78">
        <v>137</v>
      </c>
      <c r="U25" s="78">
        <v>3354</v>
      </c>
      <c r="V25" s="78">
        <v>3480</v>
      </c>
      <c r="W25" s="78">
        <v>0</v>
      </c>
      <c r="X25" s="78">
        <v>0</v>
      </c>
      <c r="Y25" s="77">
        <v>550</v>
      </c>
      <c r="Z25" s="78">
        <v>0</v>
      </c>
      <c r="AA25" s="78">
        <v>11</v>
      </c>
      <c r="AB25" s="78">
        <v>33</v>
      </c>
      <c r="AC25" s="78">
        <v>0</v>
      </c>
      <c r="AD25" s="78">
        <v>0</v>
      </c>
      <c r="AE25" s="78">
        <v>0</v>
      </c>
    </row>
    <row r="26" spans="1:73" s="17" customFormat="1" ht="22.5" x14ac:dyDescent="0.25">
      <c r="A26" s="71"/>
      <c r="B26" s="73"/>
      <c r="C26" s="79"/>
      <c r="D26" s="44">
        <v>4</v>
      </c>
      <c r="E26" s="41" t="s">
        <v>5</v>
      </c>
      <c r="F26" s="43">
        <f>D26/167</f>
        <v>2.3952095808383235E-2</v>
      </c>
      <c r="G26" s="71"/>
      <c r="H26" s="77"/>
      <c r="I26" s="77"/>
      <c r="J26" s="77"/>
      <c r="K26" s="77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7"/>
      <c r="Z26" s="79"/>
      <c r="AA26" s="79"/>
      <c r="AB26" s="79"/>
      <c r="AC26" s="79"/>
      <c r="AD26" s="79"/>
      <c r="AE26" s="79"/>
    </row>
    <row r="27" spans="1:73" s="17" customFormat="1" ht="11.25" x14ac:dyDescent="0.25">
      <c r="A27" s="71"/>
      <c r="B27" s="73"/>
      <c r="C27" s="79"/>
      <c r="D27" s="44">
        <v>13</v>
      </c>
      <c r="E27" s="41" t="s">
        <v>6</v>
      </c>
      <c r="F27" s="43">
        <f>D27/167</f>
        <v>7.7844311377245512E-2</v>
      </c>
      <c r="G27" s="71"/>
      <c r="H27" s="77"/>
      <c r="I27" s="77"/>
      <c r="J27" s="77"/>
      <c r="K27" s="77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7"/>
      <c r="Z27" s="79"/>
      <c r="AA27" s="79"/>
      <c r="AB27" s="79"/>
      <c r="AC27" s="79"/>
      <c r="AD27" s="79"/>
      <c r="AE27" s="79"/>
    </row>
    <row r="28" spans="1:73" s="17" customFormat="1" ht="22.5" x14ac:dyDescent="0.25">
      <c r="A28" s="71"/>
      <c r="B28" s="73"/>
      <c r="C28" s="80"/>
      <c r="D28" s="44">
        <v>30</v>
      </c>
      <c r="E28" s="41" t="s">
        <v>4</v>
      </c>
      <c r="F28" s="43">
        <f>D28/167</f>
        <v>0.17964071856287425</v>
      </c>
      <c r="G28" s="71"/>
      <c r="H28" s="77"/>
      <c r="I28" s="77"/>
      <c r="J28" s="77"/>
      <c r="K28" s="77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77"/>
      <c r="Z28" s="80"/>
      <c r="AA28" s="80"/>
      <c r="AB28" s="80"/>
      <c r="AC28" s="80"/>
      <c r="AD28" s="80"/>
      <c r="AE28" s="80"/>
    </row>
    <row r="29" spans="1:73" s="17" customFormat="1" ht="33.75" x14ac:dyDescent="0.25">
      <c r="A29" s="71"/>
      <c r="B29" s="73" t="s">
        <v>54</v>
      </c>
      <c r="C29" s="78">
        <v>90</v>
      </c>
      <c r="D29" s="44">
        <v>187</v>
      </c>
      <c r="E29" s="41" t="s">
        <v>60</v>
      </c>
      <c r="F29" s="43">
        <f>D29/285</f>
        <v>0.65614035087719302</v>
      </c>
      <c r="G29" s="71"/>
      <c r="H29" s="77">
        <v>3946</v>
      </c>
      <c r="I29" s="77">
        <v>3610</v>
      </c>
      <c r="J29" s="77">
        <v>1214</v>
      </c>
      <c r="K29" s="77">
        <v>550</v>
      </c>
      <c r="L29" s="77">
        <v>1501</v>
      </c>
      <c r="M29" s="77">
        <v>541</v>
      </c>
      <c r="N29" s="77">
        <v>1975</v>
      </c>
      <c r="O29" s="77">
        <v>1967</v>
      </c>
      <c r="P29" s="77">
        <v>276</v>
      </c>
      <c r="Q29" s="78">
        <v>1922</v>
      </c>
      <c r="R29" s="78">
        <v>281</v>
      </c>
      <c r="S29" s="78">
        <v>4726</v>
      </c>
      <c r="T29" s="78">
        <v>317</v>
      </c>
      <c r="U29" s="78">
        <v>6853</v>
      </c>
      <c r="V29" s="77">
        <v>5000</v>
      </c>
      <c r="W29" s="78">
        <v>182</v>
      </c>
      <c r="X29" s="77">
        <v>210</v>
      </c>
      <c r="Y29" s="77">
        <v>1548</v>
      </c>
      <c r="Z29" s="77">
        <v>0</v>
      </c>
      <c r="AA29" s="77">
        <v>36</v>
      </c>
      <c r="AB29" s="77">
        <v>65</v>
      </c>
      <c r="AC29" s="78">
        <v>0</v>
      </c>
      <c r="AD29" s="78">
        <v>8</v>
      </c>
      <c r="AE29" s="77">
        <v>55</v>
      </c>
    </row>
    <row r="30" spans="1:73" s="17" customFormat="1" ht="24" customHeight="1" x14ac:dyDescent="0.25">
      <c r="A30" s="71"/>
      <c r="B30" s="73"/>
      <c r="C30" s="79"/>
      <c r="D30" s="44">
        <v>6</v>
      </c>
      <c r="E30" s="41" t="s">
        <v>5</v>
      </c>
      <c r="F30" s="43">
        <f>D30/285</f>
        <v>2.1052631578947368E-2</v>
      </c>
      <c r="G30" s="71"/>
      <c r="H30" s="77"/>
      <c r="I30" s="77"/>
      <c r="J30" s="77"/>
      <c r="K30" s="77"/>
      <c r="L30" s="77"/>
      <c r="M30" s="77"/>
      <c r="N30" s="77"/>
      <c r="O30" s="77"/>
      <c r="P30" s="77"/>
      <c r="Q30" s="79"/>
      <c r="R30" s="79"/>
      <c r="S30" s="79"/>
      <c r="T30" s="79"/>
      <c r="U30" s="79"/>
      <c r="V30" s="77"/>
      <c r="W30" s="79"/>
      <c r="X30" s="77"/>
      <c r="Y30" s="77"/>
      <c r="Z30" s="77"/>
      <c r="AA30" s="77"/>
      <c r="AB30" s="77"/>
      <c r="AC30" s="79"/>
      <c r="AD30" s="79"/>
      <c r="AE30" s="77"/>
    </row>
    <row r="31" spans="1:73" s="17" customFormat="1" ht="19.5" customHeight="1" x14ac:dyDescent="0.25">
      <c r="A31" s="71"/>
      <c r="B31" s="73"/>
      <c r="C31" s="79"/>
      <c r="D31" s="44">
        <v>30</v>
      </c>
      <c r="E31" s="41" t="s">
        <v>6</v>
      </c>
      <c r="F31" s="43">
        <f>D31/285</f>
        <v>0.10526315789473684</v>
      </c>
      <c r="G31" s="71"/>
      <c r="H31" s="77"/>
      <c r="I31" s="77"/>
      <c r="J31" s="77"/>
      <c r="K31" s="77"/>
      <c r="L31" s="77"/>
      <c r="M31" s="77"/>
      <c r="N31" s="77"/>
      <c r="O31" s="77"/>
      <c r="P31" s="77"/>
      <c r="Q31" s="79"/>
      <c r="R31" s="79"/>
      <c r="S31" s="79"/>
      <c r="T31" s="79"/>
      <c r="U31" s="79"/>
      <c r="V31" s="77"/>
      <c r="W31" s="79"/>
      <c r="X31" s="77"/>
      <c r="Y31" s="77"/>
      <c r="Z31" s="77"/>
      <c r="AA31" s="77"/>
      <c r="AB31" s="77"/>
      <c r="AC31" s="79"/>
      <c r="AD31" s="79"/>
      <c r="AE31" s="77"/>
    </row>
    <row r="32" spans="1:73" s="17" customFormat="1" ht="28.5" customHeight="1" x14ac:dyDescent="0.25">
      <c r="A32" s="71"/>
      <c r="B32" s="73"/>
      <c r="C32" s="80"/>
      <c r="D32" s="44">
        <v>62</v>
      </c>
      <c r="E32" s="41" t="s">
        <v>4</v>
      </c>
      <c r="F32" s="43">
        <f>D32/285</f>
        <v>0.21754385964912282</v>
      </c>
      <c r="G32" s="71"/>
      <c r="H32" s="77"/>
      <c r="I32" s="77"/>
      <c r="J32" s="77"/>
      <c r="K32" s="77"/>
      <c r="L32" s="77"/>
      <c r="M32" s="77"/>
      <c r="N32" s="77"/>
      <c r="O32" s="77"/>
      <c r="P32" s="77"/>
      <c r="Q32" s="80"/>
      <c r="R32" s="80"/>
      <c r="S32" s="80"/>
      <c r="T32" s="80"/>
      <c r="U32" s="80"/>
      <c r="V32" s="77"/>
      <c r="W32" s="80"/>
      <c r="X32" s="77"/>
      <c r="Y32" s="77"/>
      <c r="Z32" s="77"/>
      <c r="AA32" s="77"/>
      <c r="AB32" s="77"/>
      <c r="AC32" s="80"/>
      <c r="AD32" s="80"/>
      <c r="AE32" s="77"/>
    </row>
    <row r="33" spans="1:31" s="17" customFormat="1" ht="33.75" x14ac:dyDescent="0.25">
      <c r="A33" s="71"/>
      <c r="B33" s="73" t="s">
        <v>38</v>
      </c>
      <c r="C33" s="78">
        <v>15</v>
      </c>
      <c r="D33" s="44">
        <v>50</v>
      </c>
      <c r="E33" s="41" t="s">
        <v>60</v>
      </c>
      <c r="F33" s="43">
        <f>D33/64</f>
        <v>0.78125</v>
      </c>
      <c r="G33" s="71"/>
      <c r="H33" s="77">
        <v>920</v>
      </c>
      <c r="I33" s="77">
        <v>272</v>
      </c>
      <c r="J33" s="77">
        <v>918</v>
      </c>
      <c r="K33" s="77">
        <v>460</v>
      </c>
      <c r="L33" s="77">
        <v>619</v>
      </c>
      <c r="M33" s="77">
        <v>184</v>
      </c>
      <c r="N33" s="77">
        <v>642</v>
      </c>
      <c r="O33" s="77">
        <v>548</v>
      </c>
      <c r="P33" s="77">
        <v>184</v>
      </c>
      <c r="Q33" s="78">
        <v>736</v>
      </c>
      <c r="R33" s="78">
        <v>283</v>
      </c>
      <c r="S33" s="78">
        <v>1748</v>
      </c>
      <c r="T33" s="78">
        <v>92</v>
      </c>
      <c r="U33" s="78">
        <v>1702</v>
      </c>
      <c r="V33" s="77">
        <v>1262</v>
      </c>
      <c r="W33" s="78">
        <v>300</v>
      </c>
      <c r="X33" s="77">
        <v>0</v>
      </c>
      <c r="Y33" s="77">
        <v>460</v>
      </c>
      <c r="Z33" s="77">
        <v>0</v>
      </c>
      <c r="AA33" s="77">
        <v>11</v>
      </c>
      <c r="AB33" s="77">
        <v>8</v>
      </c>
      <c r="AC33" s="78">
        <v>0</v>
      </c>
      <c r="AD33" s="78">
        <v>0</v>
      </c>
      <c r="AE33" s="77">
        <v>0</v>
      </c>
    </row>
    <row r="34" spans="1:31" s="17" customFormat="1" ht="22.5" x14ac:dyDescent="0.25">
      <c r="A34" s="71"/>
      <c r="B34" s="73"/>
      <c r="C34" s="79"/>
      <c r="D34" s="44">
        <v>2</v>
      </c>
      <c r="E34" s="41" t="s">
        <v>5</v>
      </c>
      <c r="F34" s="43">
        <f>D34/64</f>
        <v>3.125E-2</v>
      </c>
      <c r="G34" s="71"/>
      <c r="H34" s="77"/>
      <c r="I34" s="77"/>
      <c r="J34" s="77"/>
      <c r="K34" s="77"/>
      <c r="L34" s="77"/>
      <c r="M34" s="77"/>
      <c r="N34" s="77"/>
      <c r="O34" s="77"/>
      <c r="P34" s="77"/>
      <c r="Q34" s="79"/>
      <c r="R34" s="79"/>
      <c r="S34" s="79"/>
      <c r="T34" s="79"/>
      <c r="U34" s="79"/>
      <c r="V34" s="77"/>
      <c r="W34" s="79"/>
      <c r="X34" s="77"/>
      <c r="Y34" s="77"/>
      <c r="Z34" s="77"/>
      <c r="AA34" s="77"/>
      <c r="AB34" s="77"/>
      <c r="AC34" s="79"/>
      <c r="AD34" s="79"/>
      <c r="AE34" s="77"/>
    </row>
    <row r="35" spans="1:31" s="17" customFormat="1" ht="11.25" x14ac:dyDescent="0.25">
      <c r="A35" s="71"/>
      <c r="B35" s="73"/>
      <c r="C35" s="79"/>
      <c r="D35" s="44">
        <v>4</v>
      </c>
      <c r="E35" s="41" t="s">
        <v>6</v>
      </c>
      <c r="F35" s="43">
        <f>D35/64</f>
        <v>6.25E-2</v>
      </c>
      <c r="G35" s="71"/>
      <c r="H35" s="77"/>
      <c r="I35" s="77"/>
      <c r="J35" s="77"/>
      <c r="K35" s="77"/>
      <c r="L35" s="77"/>
      <c r="M35" s="77"/>
      <c r="N35" s="77"/>
      <c r="O35" s="77"/>
      <c r="P35" s="77"/>
      <c r="Q35" s="79"/>
      <c r="R35" s="79"/>
      <c r="S35" s="79"/>
      <c r="T35" s="79"/>
      <c r="U35" s="79"/>
      <c r="V35" s="77"/>
      <c r="W35" s="79"/>
      <c r="X35" s="77"/>
      <c r="Y35" s="77"/>
      <c r="Z35" s="77"/>
      <c r="AA35" s="77"/>
      <c r="AB35" s="77"/>
      <c r="AC35" s="79"/>
      <c r="AD35" s="79"/>
      <c r="AE35" s="77"/>
    </row>
    <row r="36" spans="1:31" s="17" customFormat="1" ht="30" customHeight="1" x14ac:dyDescent="0.25">
      <c r="A36" s="71"/>
      <c r="B36" s="73"/>
      <c r="C36" s="80"/>
      <c r="D36" s="44">
        <v>8</v>
      </c>
      <c r="E36" s="41" t="s">
        <v>4</v>
      </c>
      <c r="F36" s="43">
        <f>D36/64</f>
        <v>0.125</v>
      </c>
      <c r="G36" s="71"/>
      <c r="H36" s="77"/>
      <c r="I36" s="77"/>
      <c r="J36" s="77"/>
      <c r="K36" s="77"/>
      <c r="L36" s="77"/>
      <c r="M36" s="77"/>
      <c r="N36" s="77"/>
      <c r="O36" s="77"/>
      <c r="P36" s="77"/>
      <c r="Q36" s="80"/>
      <c r="R36" s="80"/>
      <c r="S36" s="80"/>
      <c r="T36" s="80"/>
      <c r="U36" s="80"/>
      <c r="V36" s="77"/>
      <c r="W36" s="80"/>
      <c r="X36" s="77"/>
      <c r="Y36" s="77"/>
      <c r="Z36" s="77"/>
      <c r="AA36" s="77"/>
      <c r="AB36" s="77"/>
      <c r="AC36" s="80"/>
      <c r="AD36" s="80"/>
      <c r="AE36" s="77"/>
    </row>
    <row r="37" spans="1:31" s="17" customFormat="1" ht="20.25" customHeight="1" x14ac:dyDescent="0.25">
      <c r="A37" s="71"/>
      <c r="B37" s="73" t="s">
        <v>62</v>
      </c>
      <c r="C37" s="78">
        <v>167</v>
      </c>
      <c r="D37" s="44">
        <v>440</v>
      </c>
      <c r="E37" s="41" t="s">
        <v>60</v>
      </c>
      <c r="F37" s="43">
        <f>D37/693</f>
        <v>0.63492063492063489</v>
      </c>
      <c r="G37" s="71"/>
      <c r="H37" s="77">
        <v>11546</v>
      </c>
      <c r="I37" s="77">
        <v>4600</v>
      </c>
      <c r="J37" s="77">
        <v>13814</v>
      </c>
      <c r="K37" s="77">
        <v>5382</v>
      </c>
      <c r="L37" s="77">
        <v>6876</v>
      </c>
      <c r="M37" s="77">
        <v>2685</v>
      </c>
      <c r="N37" s="77">
        <v>10534</v>
      </c>
      <c r="O37" s="77">
        <v>6346</v>
      </c>
      <c r="P37" s="77">
        <v>3172</v>
      </c>
      <c r="Q37" s="78">
        <v>9928</v>
      </c>
      <c r="R37" s="78">
        <v>1520</v>
      </c>
      <c r="S37" s="78">
        <v>22952</v>
      </c>
      <c r="T37" s="78">
        <v>414</v>
      </c>
      <c r="U37" s="78">
        <v>32703</v>
      </c>
      <c r="V37" s="77">
        <v>22793</v>
      </c>
      <c r="W37" s="78">
        <v>0</v>
      </c>
      <c r="X37" s="77">
        <v>92</v>
      </c>
      <c r="Y37" s="77">
        <v>4555</v>
      </c>
      <c r="Z37" s="77">
        <v>184</v>
      </c>
      <c r="AA37" s="77">
        <v>95</v>
      </c>
      <c r="AB37" s="77">
        <v>293</v>
      </c>
      <c r="AC37" s="78">
        <v>0</v>
      </c>
      <c r="AD37" s="78">
        <v>18</v>
      </c>
      <c r="AE37" s="77">
        <v>269</v>
      </c>
    </row>
    <row r="38" spans="1:31" s="17" customFormat="1" ht="20.25" customHeight="1" x14ac:dyDescent="0.25">
      <c r="A38" s="71"/>
      <c r="B38" s="73"/>
      <c r="C38" s="79"/>
      <c r="D38" s="44">
        <v>25</v>
      </c>
      <c r="E38" s="41" t="s">
        <v>5</v>
      </c>
      <c r="F38" s="43">
        <f>D38/693</f>
        <v>3.6075036075036072E-2</v>
      </c>
      <c r="G38" s="71"/>
      <c r="H38" s="77"/>
      <c r="I38" s="77"/>
      <c r="J38" s="77"/>
      <c r="K38" s="77"/>
      <c r="L38" s="77"/>
      <c r="M38" s="77"/>
      <c r="N38" s="77"/>
      <c r="O38" s="77"/>
      <c r="P38" s="77"/>
      <c r="Q38" s="79"/>
      <c r="R38" s="79"/>
      <c r="S38" s="79"/>
      <c r="T38" s="79"/>
      <c r="U38" s="79"/>
      <c r="V38" s="77"/>
      <c r="W38" s="79"/>
      <c r="X38" s="77"/>
      <c r="Y38" s="77"/>
      <c r="Z38" s="77"/>
      <c r="AA38" s="77"/>
      <c r="AB38" s="77"/>
      <c r="AC38" s="79"/>
      <c r="AD38" s="79"/>
      <c r="AE38" s="77"/>
    </row>
    <row r="39" spans="1:31" s="17" customFormat="1" ht="11.25" x14ac:dyDescent="0.25">
      <c r="A39" s="71"/>
      <c r="B39" s="73"/>
      <c r="C39" s="79"/>
      <c r="D39" s="44">
        <v>90</v>
      </c>
      <c r="E39" s="41" t="s">
        <v>6</v>
      </c>
      <c r="F39" s="43">
        <f>D39/693</f>
        <v>0.12987012987012986</v>
      </c>
      <c r="G39" s="71"/>
      <c r="H39" s="77"/>
      <c r="I39" s="77"/>
      <c r="J39" s="77"/>
      <c r="K39" s="77"/>
      <c r="L39" s="77"/>
      <c r="M39" s="77"/>
      <c r="N39" s="77"/>
      <c r="O39" s="77"/>
      <c r="P39" s="77"/>
      <c r="Q39" s="79"/>
      <c r="R39" s="79"/>
      <c r="S39" s="79"/>
      <c r="T39" s="79"/>
      <c r="U39" s="79"/>
      <c r="V39" s="77"/>
      <c r="W39" s="79"/>
      <c r="X39" s="77"/>
      <c r="Y39" s="77"/>
      <c r="Z39" s="77"/>
      <c r="AA39" s="77"/>
      <c r="AB39" s="77"/>
      <c r="AC39" s="79"/>
      <c r="AD39" s="79"/>
      <c r="AE39" s="77"/>
    </row>
    <row r="40" spans="1:31" s="17" customFormat="1" ht="24.75" customHeight="1" x14ac:dyDescent="0.25">
      <c r="A40" s="71"/>
      <c r="B40" s="73"/>
      <c r="C40" s="80"/>
      <c r="D40" s="44">
        <v>138</v>
      </c>
      <c r="E40" s="41" t="s">
        <v>4</v>
      </c>
      <c r="F40" s="43">
        <f>D40/693</f>
        <v>0.19913419913419914</v>
      </c>
      <c r="G40" s="71"/>
      <c r="H40" s="77"/>
      <c r="I40" s="77"/>
      <c r="J40" s="77"/>
      <c r="K40" s="77"/>
      <c r="L40" s="77"/>
      <c r="M40" s="77"/>
      <c r="N40" s="77"/>
      <c r="O40" s="77"/>
      <c r="P40" s="77"/>
      <c r="Q40" s="80"/>
      <c r="R40" s="80"/>
      <c r="S40" s="80"/>
      <c r="T40" s="80"/>
      <c r="U40" s="80"/>
      <c r="V40" s="77"/>
      <c r="W40" s="80"/>
      <c r="X40" s="77"/>
      <c r="Y40" s="77"/>
      <c r="Z40" s="77"/>
      <c r="AA40" s="77"/>
      <c r="AB40" s="77"/>
      <c r="AC40" s="80"/>
      <c r="AD40" s="80"/>
      <c r="AE40" s="77"/>
    </row>
    <row r="41" spans="1:31" s="17" customFormat="1" ht="33.75" x14ac:dyDescent="0.25">
      <c r="A41" s="71"/>
      <c r="B41" s="73" t="s">
        <v>40</v>
      </c>
      <c r="C41" s="78">
        <v>56</v>
      </c>
      <c r="D41" s="44">
        <v>162</v>
      </c>
      <c r="E41" s="41" t="s">
        <v>60</v>
      </c>
      <c r="F41" s="43">
        <f>D41/236</f>
        <v>0.68644067796610164</v>
      </c>
      <c r="G41" s="71"/>
      <c r="H41" s="77">
        <v>2468</v>
      </c>
      <c r="I41" s="77">
        <v>1544</v>
      </c>
      <c r="J41" s="77">
        <v>2653</v>
      </c>
      <c r="K41" s="77">
        <v>1192</v>
      </c>
      <c r="L41" s="77">
        <v>1443</v>
      </c>
      <c r="M41" s="77">
        <v>850</v>
      </c>
      <c r="N41" s="77">
        <v>2417</v>
      </c>
      <c r="O41" s="77">
        <v>366</v>
      </c>
      <c r="P41" s="77">
        <v>869</v>
      </c>
      <c r="Q41" s="78">
        <v>2718</v>
      </c>
      <c r="R41" s="78">
        <v>567</v>
      </c>
      <c r="S41" s="78">
        <v>6576</v>
      </c>
      <c r="T41" s="78">
        <v>0</v>
      </c>
      <c r="U41" s="78">
        <v>7652</v>
      </c>
      <c r="V41" s="77">
        <v>7503</v>
      </c>
      <c r="W41" s="78">
        <v>205</v>
      </c>
      <c r="X41" s="77">
        <v>384</v>
      </c>
      <c r="Y41" s="77">
        <v>1600</v>
      </c>
      <c r="Z41" s="77">
        <v>0</v>
      </c>
      <c r="AA41" s="77">
        <v>15</v>
      </c>
      <c r="AB41" s="77">
        <v>30</v>
      </c>
      <c r="AC41" s="78">
        <v>0</v>
      </c>
      <c r="AD41" s="78">
        <v>3</v>
      </c>
      <c r="AE41" s="77">
        <v>15</v>
      </c>
    </row>
    <row r="42" spans="1:31" s="17" customFormat="1" ht="24.75" customHeight="1" x14ac:dyDescent="0.25">
      <c r="A42" s="71"/>
      <c r="B42" s="73"/>
      <c r="C42" s="79"/>
      <c r="D42" s="44">
        <v>10</v>
      </c>
      <c r="E42" s="41" t="s">
        <v>5</v>
      </c>
      <c r="F42" s="43">
        <f>D42/236</f>
        <v>4.2372881355932202E-2</v>
      </c>
      <c r="G42" s="71"/>
      <c r="H42" s="77"/>
      <c r="I42" s="77"/>
      <c r="J42" s="77"/>
      <c r="K42" s="77"/>
      <c r="L42" s="77"/>
      <c r="M42" s="77"/>
      <c r="N42" s="77"/>
      <c r="O42" s="77"/>
      <c r="P42" s="77"/>
      <c r="Q42" s="79"/>
      <c r="R42" s="79"/>
      <c r="S42" s="79"/>
      <c r="T42" s="79"/>
      <c r="U42" s="79"/>
      <c r="V42" s="77"/>
      <c r="W42" s="79"/>
      <c r="X42" s="77"/>
      <c r="Y42" s="77"/>
      <c r="Z42" s="77"/>
      <c r="AA42" s="77"/>
      <c r="AB42" s="77"/>
      <c r="AC42" s="79"/>
      <c r="AD42" s="79"/>
      <c r="AE42" s="77"/>
    </row>
    <row r="43" spans="1:31" s="17" customFormat="1" ht="11.25" x14ac:dyDescent="0.25">
      <c r="A43" s="71"/>
      <c r="B43" s="73"/>
      <c r="C43" s="79"/>
      <c r="D43" s="44">
        <v>12</v>
      </c>
      <c r="E43" s="41" t="s">
        <v>6</v>
      </c>
      <c r="F43" s="43">
        <f>D43/236</f>
        <v>5.0847457627118647E-2</v>
      </c>
      <c r="G43" s="71"/>
      <c r="H43" s="77"/>
      <c r="I43" s="77"/>
      <c r="J43" s="77"/>
      <c r="K43" s="77"/>
      <c r="L43" s="77"/>
      <c r="M43" s="77"/>
      <c r="N43" s="77"/>
      <c r="O43" s="77"/>
      <c r="P43" s="77"/>
      <c r="Q43" s="79"/>
      <c r="R43" s="79"/>
      <c r="S43" s="79"/>
      <c r="T43" s="79"/>
      <c r="U43" s="79"/>
      <c r="V43" s="77"/>
      <c r="W43" s="79"/>
      <c r="X43" s="77"/>
      <c r="Y43" s="77"/>
      <c r="Z43" s="77"/>
      <c r="AA43" s="77"/>
      <c r="AB43" s="77"/>
      <c r="AC43" s="79"/>
      <c r="AD43" s="79"/>
      <c r="AE43" s="77"/>
    </row>
    <row r="44" spans="1:31" s="17" customFormat="1" ht="22.5" x14ac:dyDescent="0.25">
      <c r="A44" s="71"/>
      <c r="B44" s="73"/>
      <c r="C44" s="80"/>
      <c r="D44" s="44">
        <v>52</v>
      </c>
      <c r="E44" s="41" t="s">
        <v>4</v>
      </c>
      <c r="F44" s="43">
        <f>D44/236</f>
        <v>0.22033898305084745</v>
      </c>
      <c r="G44" s="71"/>
      <c r="H44" s="77"/>
      <c r="I44" s="77"/>
      <c r="J44" s="77"/>
      <c r="K44" s="77"/>
      <c r="L44" s="77"/>
      <c r="M44" s="77"/>
      <c r="N44" s="77"/>
      <c r="O44" s="77"/>
      <c r="P44" s="77"/>
      <c r="Q44" s="80"/>
      <c r="R44" s="80"/>
      <c r="S44" s="80"/>
      <c r="T44" s="80"/>
      <c r="U44" s="80"/>
      <c r="V44" s="77"/>
      <c r="W44" s="80"/>
      <c r="X44" s="77"/>
      <c r="Y44" s="77"/>
      <c r="Z44" s="77"/>
      <c r="AA44" s="77"/>
      <c r="AB44" s="77"/>
      <c r="AC44" s="80"/>
      <c r="AD44" s="80"/>
      <c r="AE44" s="77"/>
    </row>
    <row r="45" spans="1:31" s="17" customFormat="1" ht="33" customHeight="1" x14ac:dyDescent="0.25">
      <c r="A45" s="71"/>
      <c r="B45" s="73" t="s">
        <v>39</v>
      </c>
      <c r="C45" s="78">
        <v>74</v>
      </c>
      <c r="D45" s="44">
        <v>163</v>
      </c>
      <c r="E45" s="41" t="s">
        <v>60</v>
      </c>
      <c r="F45" s="43">
        <f>D45/272</f>
        <v>0.59926470588235292</v>
      </c>
      <c r="G45" s="71"/>
      <c r="H45" s="78">
        <v>7116</v>
      </c>
      <c r="I45" s="78">
        <v>1560</v>
      </c>
      <c r="J45" s="78">
        <v>2474</v>
      </c>
      <c r="K45" s="78">
        <v>1756</v>
      </c>
      <c r="L45" s="78">
        <v>1737</v>
      </c>
      <c r="M45" s="78">
        <v>1181</v>
      </c>
      <c r="N45" s="78">
        <v>3161</v>
      </c>
      <c r="O45" s="78">
        <v>1607</v>
      </c>
      <c r="P45" s="78">
        <v>1154</v>
      </c>
      <c r="Q45" s="78">
        <v>2812</v>
      </c>
      <c r="R45" s="78">
        <v>931</v>
      </c>
      <c r="S45" s="78">
        <v>10375</v>
      </c>
      <c r="T45" s="78">
        <v>90</v>
      </c>
      <c r="U45" s="78">
        <v>12374</v>
      </c>
      <c r="V45" s="78">
        <v>7841</v>
      </c>
      <c r="W45" s="78">
        <v>0</v>
      </c>
      <c r="X45" s="78">
        <v>0</v>
      </c>
      <c r="Y45" s="77">
        <v>2250</v>
      </c>
      <c r="Z45" s="78">
        <v>92</v>
      </c>
      <c r="AA45" s="78">
        <v>56</v>
      </c>
      <c r="AB45" s="78">
        <v>130</v>
      </c>
      <c r="AC45" s="78">
        <v>0</v>
      </c>
      <c r="AD45" s="78">
        <v>3</v>
      </c>
      <c r="AE45" s="78">
        <v>60</v>
      </c>
    </row>
    <row r="46" spans="1:31" s="17" customFormat="1" ht="33" customHeight="1" x14ac:dyDescent="0.25">
      <c r="A46" s="71"/>
      <c r="B46" s="73"/>
      <c r="C46" s="79"/>
      <c r="D46" s="44">
        <v>10</v>
      </c>
      <c r="E46" s="41" t="s">
        <v>5</v>
      </c>
      <c r="F46" s="43">
        <f>D46/272</f>
        <v>3.6764705882352942E-2</v>
      </c>
      <c r="G46" s="71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7"/>
      <c r="Z46" s="79"/>
      <c r="AA46" s="79"/>
      <c r="AB46" s="79"/>
      <c r="AC46" s="79"/>
      <c r="AD46" s="79"/>
      <c r="AE46" s="79"/>
    </row>
    <row r="47" spans="1:31" s="17" customFormat="1" ht="33" customHeight="1" x14ac:dyDescent="0.25">
      <c r="A47" s="71"/>
      <c r="B47" s="73"/>
      <c r="C47" s="79"/>
      <c r="D47" s="44">
        <v>38</v>
      </c>
      <c r="E47" s="41" t="s">
        <v>6</v>
      </c>
      <c r="F47" s="43">
        <f>D47/272</f>
        <v>0.13970588235294118</v>
      </c>
      <c r="G47" s="71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7"/>
      <c r="Z47" s="79"/>
      <c r="AA47" s="79"/>
      <c r="AB47" s="79"/>
      <c r="AC47" s="79"/>
      <c r="AD47" s="79"/>
      <c r="AE47" s="79"/>
    </row>
    <row r="48" spans="1:31" s="17" customFormat="1" ht="33" customHeight="1" x14ac:dyDescent="0.25">
      <c r="A48" s="72"/>
      <c r="B48" s="73"/>
      <c r="C48" s="80"/>
      <c r="D48" s="44">
        <v>61</v>
      </c>
      <c r="E48" s="41" t="s">
        <v>4</v>
      </c>
      <c r="F48" s="43">
        <f>D48/272</f>
        <v>0.22426470588235295</v>
      </c>
      <c r="G48" s="72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77"/>
      <c r="Z48" s="80"/>
      <c r="AA48" s="80"/>
      <c r="AB48" s="80"/>
      <c r="AC48" s="80"/>
      <c r="AD48" s="80"/>
      <c r="AE48" s="80"/>
    </row>
    <row r="49" spans="1:31" ht="25.5" customHeight="1" x14ac:dyDescent="0.25">
      <c r="A49" s="73" t="s">
        <v>41</v>
      </c>
      <c r="B49" s="73"/>
      <c r="C49" s="73"/>
      <c r="D49" s="73"/>
      <c r="E49" s="73"/>
      <c r="F49" s="73"/>
      <c r="G49" s="73"/>
      <c r="H49" s="7">
        <f>SUM(H5:H48)</f>
        <v>56993</v>
      </c>
      <c r="I49" s="7">
        <f t="shared" ref="I49:AE49" si="0">SUM(I5:I48)</f>
        <v>35784</v>
      </c>
      <c r="J49" s="7">
        <f t="shared" si="0"/>
        <v>34580</v>
      </c>
      <c r="K49" s="7">
        <f t="shared" si="0"/>
        <v>18764</v>
      </c>
      <c r="L49" s="7">
        <f t="shared" si="0"/>
        <v>25001</v>
      </c>
      <c r="M49" s="7">
        <f t="shared" si="0"/>
        <v>13061</v>
      </c>
      <c r="N49" s="7">
        <f t="shared" si="0"/>
        <v>34606</v>
      </c>
      <c r="O49" s="7">
        <f t="shared" si="0"/>
        <v>22374</v>
      </c>
      <c r="P49" s="7">
        <f t="shared" si="0"/>
        <v>11573</v>
      </c>
      <c r="Q49" s="7">
        <f t="shared" si="0"/>
        <v>39251</v>
      </c>
      <c r="R49" s="7">
        <f t="shared" si="0"/>
        <v>11449</v>
      </c>
      <c r="S49" s="7">
        <f t="shared" si="0"/>
        <v>104067</v>
      </c>
      <c r="T49" s="7">
        <f t="shared" si="0"/>
        <v>1901</v>
      </c>
      <c r="U49" s="7">
        <f t="shared" si="0"/>
        <v>114172</v>
      </c>
      <c r="V49" s="7">
        <f t="shared" si="0"/>
        <v>84780</v>
      </c>
      <c r="W49" s="7">
        <f t="shared" si="0"/>
        <v>745</v>
      </c>
      <c r="X49" s="7">
        <f t="shared" si="0"/>
        <v>1657</v>
      </c>
      <c r="Y49" s="7">
        <f t="shared" si="0"/>
        <v>16232</v>
      </c>
      <c r="Z49" s="7">
        <f t="shared" si="0"/>
        <v>636</v>
      </c>
      <c r="AA49" s="7">
        <f t="shared" si="0"/>
        <v>391</v>
      </c>
      <c r="AB49" s="7">
        <f t="shared" si="0"/>
        <v>1027</v>
      </c>
      <c r="AC49" s="7">
        <f t="shared" si="0"/>
        <v>20</v>
      </c>
      <c r="AD49" s="7">
        <f t="shared" si="0"/>
        <v>47</v>
      </c>
      <c r="AE49" s="7">
        <f t="shared" si="0"/>
        <v>905</v>
      </c>
    </row>
    <row r="50" spans="1:31" ht="27" customHeight="1" x14ac:dyDescent="0.2">
      <c r="A50" s="73" t="s">
        <v>42</v>
      </c>
      <c r="B50" s="73"/>
      <c r="C50" s="73"/>
      <c r="D50" s="73"/>
      <c r="E50" s="73"/>
      <c r="F50" s="73"/>
      <c r="G50" s="73"/>
      <c r="H50" s="18">
        <v>6.4500000000000002E-2</v>
      </c>
      <c r="I50" s="18">
        <v>5.8500000000000003E-2</v>
      </c>
      <c r="J50" s="19">
        <v>0.10717999</v>
      </c>
      <c r="K50" s="20">
        <v>6.6000000000000003E-2</v>
      </c>
      <c r="L50" s="20">
        <v>4.8000000000000001E-2</v>
      </c>
      <c r="M50" s="21">
        <v>0.03</v>
      </c>
      <c r="N50" s="22">
        <v>0.09</v>
      </c>
      <c r="O50" s="22">
        <v>0.23499999999999999</v>
      </c>
      <c r="P50" s="23">
        <v>0.1034559</v>
      </c>
      <c r="Q50" s="18">
        <v>0.1205</v>
      </c>
      <c r="R50" s="18">
        <v>6.1499999999999999E-2</v>
      </c>
      <c r="S50" s="47">
        <v>4.1000000000000002E-2</v>
      </c>
      <c r="T50" s="8">
        <v>0.188</v>
      </c>
      <c r="U50" s="20">
        <v>9.7000000000000003E-2</v>
      </c>
      <c r="V50" s="24">
        <v>8.9969999999999994E-2</v>
      </c>
      <c r="W50" s="22">
        <v>0.22</v>
      </c>
      <c r="X50" s="22">
        <v>0.12</v>
      </c>
      <c r="Y50" s="25">
        <v>4.6399999999999997E-2</v>
      </c>
      <c r="Z50" s="22">
        <v>3.27</v>
      </c>
      <c r="AA50" s="22">
        <v>4.8600000000000003</v>
      </c>
      <c r="AB50" s="22">
        <v>11.52</v>
      </c>
      <c r="AC50" s="22">
        <v>2.21</v>
      </c>
      <c r="AD50" s="26">
        <v>73.87</v>
      </c>
      <c r="AE50" s="22">
        <v>0.52</v>
      </c>
    </row>
    <row r="51" spans="1:31" ht="24" customHeight="1" x14ac:dyDescent="0.25">
      <c r="A51" s="73" t="s">
        <v>43</v>
      </c>
      <c r="B51" s="73"/>
      <c r="C51" s="73"/>
      <c r="D51" s="73"/>
      <c r="E51" s="73"/>
      <c r="F51" s="73"/>
      <c r="G51" s="73"/>
      <c r="H51" s="16">
        <f>H49*H50</f>
        <v>3676.0484999999999</v>
      </c>
      <c r="I51" s="16">
        <f t="shared" ref="I51:AE51" si="1">I49*I50</f>
        <v>2093.364</v>
      </c>
      <c r="J51" s="16">
        <f t="shared" si="1"/>
        <v>3706.2840541999999</v>
      </c>
      <c r="K51" s="16">
        <f t="shared" si="1"/>
        <v>1238.424</v>
      </c>
      <c r="L51" s="16">
        <f t="shared" si="1"/>
        <v>1200.048</v>
      </c>
      <c r="M51" s="16">
        <f t="shared" si="1"/>
        <v>391.83</v>
      </c>
      <c r="N51" s="16">
        <f t="shared" si="1"/>
        <v>3114.54</v>
      </c>
      <c r="O51" s="16">
        <f t="shared" si="1"/>
        <v>5257.8899999999994</v>
      </c>
      <c r="P51" s="16">
        <f t="shared" si="1"/>
        <v>1197.2951307000001</v>
      </c>
      <c r="Q51" s="16">
        <f t="shared" si="1"/>
        <v>4729.7455</v>
      </c>
      <c r="R51" s="16">
        <f t="shared" si="1"/>
        <v>704.11350000000004</v>
      </c>
      <c r="S51" s="16">
        <f t="shared" si="1"/>
        <v>4266.7470000000003</v>
      </c>
      <c r="T51" s="16">
        <f t="shared" si="1"/>
        <v>357.38799999999998</v>
      </c>
      <c r="U51" s="16">
        <f t="shared" si="1"/>
        <v>11074.684000000001</v>
      </c>
      <c r="V51" s="16">
        <f t="shared" si="1"/>
        <v>7627.6565999999993</v>
      </c>
      <c r="W51" s="16">
        <f t="shared" si="1"/>
        <v>163.9</v>
      </c>
      <c r="X51" s="16">
        <f t="shared" si="1"/>
        <v>198.84</v>
      </c>
      <c r="Y51" s="16">
        <f t="shared" si="1"/>
        <v>753.1647999999999</v>
      </c>
      <c r="Z51" s="16">
        <f t="shared" si="1"/>
        <v>2079.7199999999998</v>
      </c>
      <c r="AA51" s="16">
        <f t="shared" si="1"/>
        <v>1900.2600000000002</v>
      </c>
      <c r="AB51" s="16">
        <f t="shared" si="1"/>
        <v>11831.039999999999</v>
      </c>
      <c r="AC51" s="16">
        <f t="shared" si="1"/>
        <v>44.2</v>
      </c>
      <c r="AD51" s="16">
        <f t="shared" si="1"/>
        <v>3471.8900000000003</v>
      </c>
      <c r="AE51" s="16">
        <f t="shared" si="1"/>
        <v>470.6</v>
      </c>
    </row>
    <row r="52" spans="1:31" ht="20.25" customHeight="1" x14ac:dyDescent="0.25">
      <c r="A52" s="73" t="s">
        <v>44</v>
      </c>
      <c r="B52" s="73"/>
      <c r="C52" s="73"/>
      <c r="D52" s="73"/>
      <c r="E52" s="73"/>
      <c r="F52" s="73"/>
      <c r="G52" s="73"/>
      <c r="H52" s="90">
        <f>H51+I51+J51+K51+L51+M51+N51+O51+P51+Q51+T51+U51+V51+W51+X51+Y51+Z51+AA51+AB51+AC51+AD51+AE51</f>
        <v>66578.812584900006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</row>
    <row r="53" spans="1:31" ht="22.5" customHeight="1" x14ac:dyDescent="0.25">
      <c r="A53" s="73" t="s">
        <v>45</v>
      </c>
      <c r="B53" s="73"/>
      <c r="C53" s="73"/>
      <c r="D53" s="73"/>
      <c r="E53" s="73"/>
      <c r="F53" s="73"/>
      <c r="G53" s="73"/>
      <c r="H53" s="106" t="s">
        <v>3</v>
      </c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93"/>
      <c r="U53" s="73" t="s">
        <v>4</v>
      </c>
      <c r="V53" s="73"/>
      <c r="W53" s="73"/>
      <c r="X53" s="73" t="s">
        <v>5</v>
      </c>
      <c r="Y53" s="73"/>
      <c r="Z53" s="73" t="s">
        <v>6</v>
      </c>
      <c r="AA53" s="73"/>
      <c r="AB53" s="73"/>
      <c r="AC53" s="73"/>
      <c r="AD53" s="73"/>
      <c r="AE53" s="73"/>
    </row>
    <row r="54" spans="1:31" ht="29.25" customHeight="1" x14ac:dyDescent="0.25">
      <c r="A54" s="73"/>
      <c r="B54" s="73"/>
      <c r="C54" s="73"/>
      <c r="D54" s="73"/>
      <c r="E54" s="73"/>
      <c r="F54" s="73"/>
      <c r="G54" s="73"/>
      <c r="H54" s="108">
        <f>H51+I51+J51+K51+L51+M51+N51+O51+P51+Q51+T51</f>
        <v>26962.8571849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10"/>
      <c r="U54" s="94">
        <f>U51+V51+W51</f>
        <v>18866.240600000001</v>
      </c>
      <c r="V54" s="95"/>
      <c r="W54" s="96"/>
      <c r="X54" s="91">
        <f>X51+Y51</f>
        <v>952.00479999999993</v>
      </c>
      <c r="Y54" s="91"/>
      <c r="Z54" s="90">
        <f>Z51+AA51+AB51+AC51+AD51+AE51</f>
        <v>19797.71</v>
      </c>
      <c r="AA54" s="90"/>
      <c r="AB54" s="90"/>
      <c r="AC54" s="90"/>
      <c r="AD54" s="90"/>
      <c r="AE54" s="90"/>
    </row>
    <row r="55" spans="1:31" ht="34.5" customHeight="1" x14ac:dyDescent="0.25">
      <c r="A55" s="73" t="s">
        <v>46</v>
      </c>
      <c r="B55" s="73"/>
      <c r="C55" s="73"/>
      <c r="D55" s="73"/>
      <c r="E55" s="73"/>
      <c r="F55" s="73"/>
      <c r="G55" s="73"/>
      <c r="H55" s="108">
        <v>2184600</v>
      </c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10"/>
      <c r="U55" s="92">
        <v>590000</v>
      </c>
      <c r="V55" s="92"/>
      <c r="W55" s="92"/>
      <c r="X55" s="91">
        <v>50000</v>
      </c>
      <c r="Y55" s="91"/>
      <c r="Z55" s="91">
        <v>620700</v>
      </c>
      <c r="AA55" s="91"/>
      <c r="AB55" s="91"/>
      <c r="AC55" s="91"/>
      <c r="AD55" s="91"/>
      <c r="AE55" s="91"/>
    </row>
    <row r="60" spans="1:31" ht="22.5" customHeight="1" x14ac:dyDescent="0.25">
      <c r="B60" s="88" t="s">
        <v>47</v>
      </c>
      <c r="C60" s="88"/>
    </row>
    <row r="61" spans="1:31" x14ac:dyDescent="0.25">
      <c r="A61" s="28">
        <v>1</v>
      </c>
      <c r="B61" s="89" t="s">
        <v>48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</row>
    <row r="62" spans="1:31" ht="30.75" customHeight="1" x14ac:dyDescent="0.25">
      <c r="A62" s="28">
        <v>2</v>
      </c>
      <c r="B62" s="89" t="s">
        <v>49</v>
      </c>
      <c r="C62" s="89"/>
      <c r="D62" s="89"/>
      <c r="E62" s="89"/>
      <c r="F62" s="89"/>
      <c r="G62" s="89"/>
      <c r="H62" s="89"/>
      <c r="I62" s="89"/>
      <c r="J62" s="89"/>
      <c r="K62" s="89"/>
      <c r="L62" s="89"/>
      <c r="M62" s="89"/>
    </row>
    <row r="63" spans="1:31" x14ac:dyDescent="0.25">
      <c r="A63" s="28">
        <v>3</v>
      </c>
      <c r="B63" s="89" t="s">
        <v>50</v>
      </c>
      <c r="C63" s="89"/>
      <c r="D63" s="89"/>
      <c r="E63" s="89"/>
      <c r="F63" s="89"/>
      <c r="G63" s="89"/>
      <c r="H63" s="89"/>
      <c r="I63" s="89"/>
      <c r="J63" s="89"/>
      <c r="K63" s="89"/>
      <c r="L63" s="89"/>
      <c r="M63" s="89"/>
    </row>
  </sheetData>
  <mergeCells count="322">
    <mergeCell ref="B60:C60"/>
    <mergeCell ref="B61:P61"/>
    <mergeCell ref="B62:M62"/>
    <mergeCell ref="B63:M63"/>
    <mergeCell ref="A1:H1"/>
    <mergeCell ref="S21:S24"/>
    <mergeCell ref="S29:S32"/>
    <mergeCell ref="S37:S40"/>
    <mergeCell ref="R21:R24"/>
    <mergeCell ref="R29:R32"/>
    <mergeCell ref="H54:T54"/>
    <mergeCell ref="N45:N48"/>
    <mergeCell ref="O45:O48"/>
    <mergeCell ref="P45:P48"/>
    <mergeCell ref="Q45:Q48"/>
    <mergeCell ref="S45:S48"/>
    <mergeCell ref="R45:R48"/>
    <mergeCell ref="N41:N44"/>
    <mergeCell ref="O41:O44"/>
    <mergeCell ref="P41:P44"/>
    <mergeCell ref="Q41:Q44"/>
    <mergeCell ref="O33:O36"/>
    <mergeCell ref="P33:P36"/>
    <mergeCell ref="Q33:Q36"/>
    <mergeCell ref="U54:W54"/>
    <mergeCell ref="X54:Y54"/>
    <mergeCell ref="Z54:AE54"/>
    <mergeCell ref="A55:G55"/>
    <mergeCell ref="H55:T55"/>
    <mergeCell ref="U55:W55"/>
    <mergeCell ref="X55:Y55"/>
    <mergeCell ref="Z55:AE55"/>
    <mergeCell ref="A49:G49"/>
    <mergeCell ref="A50:G50"/>
    <mergeCell ref="A51:G51"/>
    <mergeCell ref="A52:G52"/>
    <mergeCell ref="H52:AE52"/>
    <mergeCell ref="A53:G54"/>
    <mergeCell ref="H53:T53"/>
    <mergeCell ref="U53:W53"/>
    <mergeCell ref="X53:Y53"/>
    <mergeCell ref="Z53:AE53"/>
    <mergeCell ref="Z45:Z48"/>
    <mergeCell ref="AA45:AA48"/>
    <mergeCell ref="AB45:AB48"/>
    <mergeCell ref="AC45:AC48"/>
    <mergeCell ref="AD45:AD48"/>
    <mergeCell ref="AE45:AE48"/>
    <mergeCell ref="T45:T48"/>
    <mergeCell ref="U45:U48"/>
    <mergeCell ref="V45:V48"/>
    <mergeCell ref="W45:W48"/>
    <mergeCell ref="X45:X48"/>
    <mergeCell ref="Y45:Y48"/>
    <mergeCell ref="Y41:Y44"/>
    <mergeCell ref="Z41:Z44"/>
    <mergeCell ref="AA41:AA44"/>
    <mergeCell ref="AB41:AB44"/>
    <mergeCell ref="AC41:AC44"/>
    <mergeCell ref="R41:R44"/>
    <mergeCell ref="S41:S44"/>
    <mergeCell ref="T41:T44"/>
    <mergeCell ref="U41:U44"/>
    <mergeCell ref="V41:V44"/>
    <mergeCell ref="W41:W44"/>
    <mergeCell ref="B45:B48"/>
    <mergeCell ref="C45:C48"/>
    <mergeCell ref="H45:H48"/>
    <mergeCell ref="I45:I48"/>
    <mergeCell ref="J45:J48"/>
    <mergeCell ref="K45:K48"/>
    <mergeCell ref="L45:L48"/>
    <mergeCell ref="M45:M48"/>
    <mergeCell ref="X41:X44"/>
    <mergeCell ref="L41:L44"/>
    <mergeCell ref="M41:M44"/>
    <mergeCell ref="G5:G48"/>
    <mergeCell ref="AB37:AB40"/>
    <mergeCell ref="AC37:AC40"/>
    <mergeCell ref="AD37:AD40"/>
    <mergeCell ref="AE37:AE40"/>
    <mergeCell ref="B41:B44"/>
    <mergeCell ref="C41:C44"/>
    <mergeCell ref="H41:H44"/>
    <mergeCell ref="I41:I44"/>
    <mergeCell ref="J41:J44"/>
    <mergeCell ref="K41:K44"/>
    <mergeCell ref="V37:V40"/>
    <mergeCell ref="W37:W40"/>
    <mergeCell ref="X37:X40"/>
    <mergeCell ref="Y37:Y40"/>
    <mergeCell ref="Z37:Z40"/>
    <mergeCell ref="AA37:AA40"/>
    <mergeCell ref="O37:O40"/>
    <mergeCell ref="P37:P40"/>
    <mergeCell ref="Q37:Q40"/>
    <mergeCell ref="T37:T40"/>
    <mergeCell ref="U37:U40"/>
    <mergeCell ref="R37:R40"/>
    <mergeCell ref="AD41:AD44"/>
    <mergeCell ref="AE41:AE44"/>
    <mergeCell ref="AE33:AE36"/>
    <mergeCell ref="B37:B40"/>
    <mergeCell ref="C37:C40"/>
    <mergeCell ref="H37:H40"/>
    <mergeCell ref="I37:I40"/>
    <mergeCell ref="J37:J40"/>
    <mergeCell ref="K37:K40"/>
    <mergeCell ref="L37:L40"/>
    <mergeCell ref="M37:M40"/>
    <mergeCell ref="N37:N40"/>
    <mergeCell ref="Y33:Y36"/>
    <mergeCell ref="Z33:Z36"/>
    <mergeCell ref="AA33:AA36"/>
    <mergeCell ref="AB33:AB36"/>
    <mergeCell ref="AC33:AC36"/>
    <mergeCell ref="AD33:AD36"/>
    <mergeCell ref="S33:S36"/>
    <mergeCell ref="T33:T36"/>
    <mergeCell ref="U33:U36"/>
    <mergeCell ref="V33:V36"/>
    <mergeCell ref="W33:W36"/>
    <mergeCell ref="X33:X36"/>
    <mergeCell ref="M33:M36"/>
    <mergeCell ref="N33:N36"/>
    <mergeCell ref="R33:R36"/>
    <mergeCell ref="AC29:AC32"/>
    <mergeCell ref="AD29:AD32"/>
    <mergeCell ref="AE29:AE32"/>
    <mergeCell ref="B33:B36"/>
    <mergeCell ref="C33:C36"/>
    <mergeCell ref="H33:H36"/>
    <mergeCell ref="I33:I36"/>
    <mergeCell ref="J33:J36"/>
    <mergeCell ref="K33:K36"/>
    <mergeCell ref="L33:L36"/>
    <mergeCell ref="W29:W32"/>
    <mergeCell ref="X29:X32"/>
    <mergeCell ref="Y29:Y32"/>
    <mergeCell ref="Z29:Z32"/>
    <mergeCell ref="AA29:AA32"/>
    <mergeCell ref="AB29:AB32"/>
    <mergeCell ref="Q29:Q32"/>
    <mergeCell ref="T29:T32"/>
    <mergeCell ref="U29:U32"/>
    <mergeCell ref="V29:V32"/>
    <mergeCell ref="K29:K32"/>
    <mergeCell ref="L29:L32"/>
    <mergeCell ref="M29:M32"/>
    <mergeCell ref="N29:N32"/>
    <mergeCell ref="O29:O32"/>
    <mergeCell ref="P29:P32"/>
    <mergeCell ref="AA25:AA28"/>
    <mergeCell ref="AB25:AB28"/>
    <mergeCell ref="AC25:AC28"/>
    <mergeCell ref="AD25:AD28"/>
    <mergeCell ref="AE25:AE28"/>
    <mergeCell ref="B29:B32"/>
    <mergeCell ref="C29:C32"/>
    <mergeCell ref="H29:H32"/>
    <mergeCell ref="I29:I32"/>
    <mergeCell ref="J29:J32"/>
    <mergeCell ref="U25:U28"/>
    <mergeCell ref="V25:V28"/>
    <mergeCell ref="W25:W28"/>
    <mergeCell ref="X25:X28"/>
    <mergeCell ref="Y25:Y28"/>
    <mergeCell ref="Z25:Z28"/>
    <mergeCell ref="O25:O28"/>
    <mergeCell ref="P25:P28"/>
    <mergeCell ref="Q25:Q28"/>
    <mergeCell ref="R25:R28"/>
    <mergeCell ref="S25:S28"/>
    <mergeCell ref="T25:T28"/>
    <mergeCell ref="AE21:AE24"/>
    <mergeCell ref="B25:B28"/>
    <mergeCell ref="C25:C28"/>
    <mergeCell ref="H25:H28"/>
    <mergeCell ref="I25:I28"/>
    <mergeCell ref="J25:J28"/>
    <mergeCell ref="K25:K28"/>
    <mergeCell ref="L25:L28"/>
    <mergeCell ref="M25:M28"/>
    <mergeCell ref="N25:N28"/>
    <mergeCell ref="Y21:Y24"/>
    <mergeCell ref="Z21:Z24"/>
    <mergeCell ref="AA21:AA24"/>
    <mergeCell ref="AB21:AB24"/>
    <mergeCell ref="AC21:AC24"/>
    <mergeCell ref="AD21:AD24"/>
    <mergeCell ref="T21:T24"/>
    <mergeCell ref="U21:U24"/>
    <mergeCell ref="V21:V24"/>
    <mergeCell ref="W21:W24"/>
    <mergeCell ref="X21:X24"/>
    <mergeCell ref="M21:M24"/>
    <mergeCell ref="N21:N24"/>
    <mergeCell ref="B21:B24"/>
    <mergeCell ref="C21:C24"/>
    <mergeCell ref="H21:H24"/>
    <mergeCell ref="I21:I24"/>
    <mergeCell ref="J21:J24"/>
    <mergeCell ref="K21:K24"/>
    <mergeCell ref="L21:L24"/>
    <mergeCell ref="W17:W20"/>
    <mergeCell ref="X17:X20"/>
    <mergeCell ref="Q17:Q20"/>
    <mergeCell ref="R17:R20"/>
    <mergeCell ref="S17:S20"/>
    <mergeCell ref="T17:T20"/>
    <mergeCell ref="U17:U20"/>
    <mergeCell ref="P17:P20"/>
    <mergeCell ref="AA13:AA16"/>
    <mergeCell ref="AB13:AB16"/>
    <mergeCell ref="O21:O24"/>
    <mergeCell ref="P21:P24"/>
    <mergeCell ref="Q21:Q24"/>
    <mergeCell ref="AC17:AC20"/>
    <mergeCell ref="AD17:AD20"/>
    <mergeCell ref="AE17:AE20"/>
    <mergeCell ref="Y17:Y20"/>
    <mergeCell ref="Z17:Z20"/>
    <mergeCell ref="AA17:AA20"/>
    <mergeCell ref="AB17:AB20"/>
    <mergeCell ref="AE13:AE16"/>
    <mergeCell ref="B17:B20"/>
    <mergeCell ref="C17:C20"/>
    <mergeCell ref="H17:H20"/>
    <mergeCell ref="I17:I20"/>
    <mergeCell ref="J17:J20"/>
    <mergeCell ref="U13:U16"/>
    <mergeCell ref="V13:V16"/>
    <mergeCell ref="W13:W16"/>
    <mergeCell ref="X13:X16"/>
    <mergeCell ref="Y13:Y16"/>
    <mergeCell ref="Z13:Z16"/>
    <mergeCell ref="O13:O16"/>
    <mergeCell ref="P13:P16"/>
    <mergeCell ref="Q13:Q16"/>
    <mergeCell ref="R13:R16"/>
    <mergeCell ref="S13:S16"/>
    <mergeCell ref="T13:T16"/>
    <mergeCell ref="V17:V20"/>
    <mergeCell ref="K17:K20"/>
    <mergeCell ref="L17:L20"/>
    <mergeCell ref="M17:M20"/>
    <mergeCell ref="N17:N20"/>
    <mergeCell ref="O17:O20"/>
    <mergeCell ref="L13:L16"/>
    <mergeCell ref="M13:M16"/>
    <mergeCell ref="N13:N16"/>
    <mergeCell ref="Y9:Y12"/>
    <mergeCell ref="Z9:Z12"/>
    <mergeCell ref="AA9:AA12"/>
    <mergeCell ref="AB9:AB12"/>
    <mergeCell ref="AC9:AC12"/>
    <mergeCell ref="AD9:AD12"/>
    <mergeCell ref="S9:S12"/>
    <mergeCell ref="T9:T12"/>
    <mergeCell ref="U9:U12"/>
    <mergeCell ref="V9:V12"/>
    <mergeCell ref="W9:W12"/>
    <mergeCell ref="X9:X12"/>
    <mergeCell ref="M9:M12"/>
    <mergeCell ref="N9:N12"/>
    <mergeCell ref="AC13:AC16"/>
    <mergeCell ref="AD13:AD16"/>
    <mergeCell ref="AC5:AC8"/>
    <mergeCell ref="AD5:AD8"/>
    <mergeCell ref="AE5:AE8"/>
    <mergeCell ref="B9:B12"/>
    <mergeCell ref="C9:C12"/>
    <mergeCell ref="H9:H12"/>
    <mergeCell ref="I9:I12"/>
    <mergeCell ref="J9:J12"/>
    <mergeCell ref="K9:K12"/>
    <mergeCell ref="L9:L12"/>
    <mergeCell ref="W5:W8"/>
    <mergeCell ref="X5:X8"/>
    <mergeCell ref="Y5:Y8"/>
    <mergeCell ref="Z5:Z8"/>
    <mergeCell ref="AA5:AA8"/>
    <mergeCell ref="AB5:AB8"/>
    <mergeCell ref="Q5:Q8"/>
    <mergeCell ref="R5:R8"/>
    <mergeCell ref="S5:S8"/>
    <mergeCell ref="T5:T8"/>
    <mergeCell ref="AE9:AE12"/>
    <mergeCell ref="U5:U8"/>
    <mergeCell ref="V5:V8"/>
    <mergeCell ref="K5:K8"/>
    <mergeCell ref="L5:L8"/>
    <mergeCell ref="M5:M8"/>
    <mergeCell ref="N5:N8"/>
    <mergeCell ref="O5:O8"/>
    <mergeCell ref="P5:P8"/>
    <mergeCell ref="A5:A48"/>
    <mergeCell ref="B5:B8"/>
    <mergeCell ref="C5:C8"/>
    <mergeCell ref="H5:H8"/>
    <mergeCell ref="I5:I8"/>
    <mergeCell ref="J5:J8"/>
    <mergeCell ref="O9:O12"/>
    <mergeCell ref="P9:P12"/>
    <mergeCell ref="Q9:Q12"/>
    <mergeCell ref="R9:R12"/>
    <mergeCell ref="B13:B16"/>
    <mergeCell ref="C13:C16"/>
    <mergeCell ref="H13:H16"/>
    <mergeCell ref="I13:I16"/>
    <mergeCell ref="J13:J16"/>
    <mergeCell ref="K13:K16"/>
    <mergeCell ref="A2:A4"/>
    <mergeCell ref="B2:D3"/>
    <mergeCell ref="E2:E4"/>
    <mergeCell ref="F2:F4"/>
    <mergeCell ref="G2:G4"/>
    <mergeCell ref="H2:AE2"/>
    <mergeCell ref="H3:T3"/>
    <mergeCell ref="U3:W3"/>
    <mergeCell ref="X3:Y3"/>
    <mergeCell ref="Z3:AE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BU61"/>
  <sheetViews>
    <sheetView tabSelected="1" topLeftCell="A52" workbookViewId="0">
      <selection activeCell="O73" sqref="O73"/>
    </sheetView>
  </sheetViews>
  <sheetFormatPr defaultColWidth="8" defaultRowHeight="9" x14ac:dyDescent="0.25"/>
  <cols>
    <col min="1" max="1" width="5.7109375" style="28" customWidth="1"/>
    <col min="2" max="6" width="8" style="28"/>
    <col min="7" max="7" width="5.85546875" style="28" customWidth="1"/>
    <col min="8" max="18" width="8" style="28"/>
    <col min="19" max="19" width="9.5703125" style="28" customWidth="1"/>
    <col min="20" max="25" width="8" style="28"/>
    <col min="26" max="26" width="8" style="119"/>
    <col min="27" max="28" width="8" style="28"/>
    <col min="29" max="30" width="6.7109375" style="28" customWidth="1"/>
    <col min="31" max="31" width="6.28515625" style="28" customWidth="1"/>
    <col min="32" max="16384" width="8" style="28"/>
  </cols>
  <sheetData>
    <row r="1" spans="1:31" ht="27" customHeight="1" x14ac:dyDescent="0.25">
      <c r="A1" s="88" t="s">
        <v>63</v>
      </c>
      <c r="B1" s="88"/>
      <c r="C1" s="88"/>
      <c r="D1" s="88"/>
      <c r="E1" s="88"/>
      <c r="F1" s="88"/>
      <c r="G1" s="88"/>
      <c r="H1" s="88"/>
    </row>
    <row r="2" spans="1:31" ht="45.75" customHeight="1" x14ac:dyDescent="0.25">
      <c r="A2" s="52" t="s">
        <v>0</v>
      </c>
      <c r="B2" s="84" t="s">
        <v>1</v>
      </c>
      <c r="C2" s="85"/>
      <c r="D2" s="86"/>
      <c r="E2" s="116" t="s">
        <v>58</v>
      </c>
      <c r="F2" s="111" t="s">
        <v>57</v>
      </c>
      <c r="G2" s="111" t="s">
        <v>2</v>
      </c>
      <c r="H2" s="52" t="s">
        <v>51</v>
      </c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52"/>
    </row>
    <row r="3" spans="1:31" ht="45.75" customHeight="1" x14ac:dyDescent="0.25">
      <c r="A3" s="52"/>
      <c r="B3" s="56"/>
      <c r="C3" s="57"/>
      <c r="D3" s="87"/>
      <c r="E3" s="117"/>
      <c r="F3" s="112"/>
      <c r="G3" s="112"/>
      <c r="H3" s="100" t="s">
        <v>3</v>
      </c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2"/>
      <c r="U3" s="59" t="s">
        <v>4</v>
      </c>
      <c r="V3" s="60"/>
      <c r="W3" s="60"/>
      <c r="X3" s="61" t="s">
        <v>5</v>
      </c>
      <c r="Y3" s="62"/>
      <c r="Z3" s="63" t="s">
        <v>6</v>
      </c>
      <c r="AA3" s="64"/>
      <c r="AB3" s="64"/>
      <c r="AC3" s="64"/>
      <c r="AD3" s="64"/>
      <c r="AE3" s="65"/>
    </row>
    <row r="4" spans="1:31" ht="152.25" customHeight="1" x14ac:dyDescent="0.25">
      <c r="A4" s="52"/>
      <c r="B4" s="35" t="s">
        <v>7</v>
      </c>
      <c r="C4" s="35" t="s">
        <v>8</v>
      </c>
      <c r="D4" s="36" t="s">
        <v>59</v>
      </c>
      <c r="E4" s="118"/>
      <c r="F4" s="113"/>
      <c r="G4" s="113"/>
      <c r="H4" s="33" t="s">
        <v>9</v>
      </c>
      <c r="I4" s="33" t="s">
        <v>10</v>
      </c>
      <c r="J4" s="33" t="s">
        <v>11</v>
      </c>
      <c r="K4" s="33" t="s">
        <v>12</v>
      </c>
      <c r="L4" s="33" t="s">
        <v>13</v>
      </c>
      <c r="M4" s="33" t="s">
        <v>14</v>
      </c>
      <c r="N4" s="33" t="s">
        <v>15</v>
      </c>
      <c r="O4" s="33" t="s">
        <v>16</v>
      </c>
      <c r="P4" s="33" t="s">
        <v>17</v>
      </c>
      <c r="Q4" s="33" t="s">
        <v>18</v>
      </c>
      <c r="R4" s="33" t="s">
        <v>55</v>
      </c>
      <c r="S4" s="33" t="s">
        <v>56</v>
      </c>
      <c r="T4" s="33" t="s">
        <v>53</v>
      </c>
      <c r="U4" s="4" t="s">
        <v>19</v>
      </c>
      <c r="V4" s="4" t="s">
        <v>20</v>
      </c>
      <c r="W4" s="4" t="s">
        <v>21</v>
      </c>
      <c r="X4" s="5" t="s">
        <v>22</v>
      </c>
      <c r="Y4" s="5" t="s">
        <v>23</v>
      </c>
      <c r="Z4" s="127" t="s">
        <v>24</v>
      </c>
      <c r="AA4" s="6" t="s">
        <v>25</v>
      </c>
      <c r="AB4" s="6" t="s">
        <v>26</v>
      </c>
      <c r="AC4" s="6" t="s">
        <v>27</v>
      </c>
      <c r="AD4" s="6" t="s">
        <v>52</v>
      </c>
      <c r="AE4" s="6" t="s">
        <v>28</v>
      </c>
    </row>
    <row r="5" spans="1:31" s="17" customFormat="1" ht="22.5" customHeight="1" x14ac:dyDescent="0.25">
      <c r="A5" s="70">
        <v>10814</v>
      </c>
      <c r="B5" s="73" t="s">
        <v>34</v>
      </c>
      <c r="C5" s="78">
        <v>499</v>
      </c>
      <c r="D5" s="45">
        <v>764</v>
      </c>
      <c r="E5" s="41" t="s">
        <v>60</v>
      </c>
      <c r="F5" s="42">
        <f>D5/1257</f>
        <v>0.60779634049323783</v>
      </c>
      <c r="G5" s="70">
        <v>10268</v>
      </c>
      <c r="H5" s="66">
        <v>8590</v>
      </c>
      <c r="I5" s="66">
        <v>10668</v>
      </c>
      <c r="J5" s="66">
        <v>5865</v>
      </c>
      <c r="K5" s="66">
        <v>4880</v>
      </c>
      <c r="L5" s="66">
        <v>5660</v>
      </c>
      <c r="M5" s="66">
        <v>2976</v>
      </c>
      <c r="N5" s="66">
        <v>7158</v>
      </c>
      <c r="O5" s="67">
        <v>6230</v>
      </c>
      <c r="P5" s="66">
        <v>2265</v>
      </c>
      <c r="Q5" s="66">
        <v>5991</v>
      </c>
      <c r="R5" s="67">
        <v>1290</v>
      </c>
      <c r="S5" s="67">
        <v>3680</v>
      </c>
      <c r="T5" s="67">
        <v>0</v>
      </c>
      <c r="U5" s="67">
        <v>25897</v>
      </c>
      <c r="V5" s="66">
        <v>5728</v>
      </c>
      <c r="W5" s="67">
        <v>2344</v>
      </c>
      <c r="X5" s="66">
        <v>642</v>
      </c>
      <c r="Y5" s="66">
        <v>2599</v>
      </c>
      <c r="Z5" s="120">
        <v>356</v>
      </c>
      <c r="AA5" s="66">
        <v>105</v>
      </c>
      <c r="AB5" s="66">
        <v>294</v>
      </c>
      <c r="AC5" s="67">
        <v>20</v>
      </c>
      <c r="AD5" s="67">
        <v>3</v>
      </c>
      <c r="AE5" s="66">
        <v>187</v>
      </c>
    </row>
    <row r="6" spans="1:31" s="17" customFormat="1" ht="24.75" customHeight="1" x14ac:dyDescent="0.25">
      <c r="A6" s="71"/>
      <c r="B6" s="73"/>
      <c r="C6" s="79"/>
      <c r="D6" s="45">
        <v>31</v>
      </c>
      <c r="E6" s="41" t="s">
        <v>5</v>
      </c>
      <c r="F6" s="42">
        <f>D6/1257</f>
        <v>2.4661893396976928E-2</v>
      </c>
      <c r="G6" s="71"/>
      <c r="H6" s="66"/>
      <c r="I6" s="66"/>
      <c r="J6" s="66"/>
      <c r="K6" s="66"/>
      <c r="L6" s="66"/>
      <c r="M6" s="66"/>
      <c r="N6" s="66"/>
      <c r="O6" s="68"/>
      <c r="P6" s="66"/>
      <c r="Q6" s="66"/>
      <c r="R6" s="68"/>
      <c r="S6" s="68"/>
      <c r="T6" s="68"/>
      <c r="U6" s="68"/>
      <c r="V6" s="66"/>
      <c r="W6" s="68"/>
      <c r="X6" s="66"/>
      <c r="Y6" s="66"/>
      <c r="Z6" s="120"/>
      <c r="AA6" s="66"/>
      <c r="AB6" s="66"/>
      <c r="AC6" s="68"/>
      <c r="AD6" s="68"/>
      <c r="AE6" s="66"/>
    </row>
    <row r="7" spans="1:31" s="17" customFormat="1" ht="11.25" x14ac:dyDescent="0.25">
      <c r="A7" s="71"/>
      <c r="B7" s="73"/>
      <c r="C7" s="79"/>
      <c r="D7" s="45">
        <v>159</v>
      </c>
      <c r="E7" s="41" t="s">
        <v>6</v>
      </c>
      <c r="F7" s="42">
        <f>D7/1257</f>
        <v>0.12649164677804295</v>
      </c>
      <c r="G7" s="71"/>
      <c r="H7" s="66"/>
      <c r="I7" s="66"/>
      <c r="J7" s="66"/>
      <c r="K7" s="66"/>
      <c r="L7" s="66"/>
      <c r="M7" s="66"/>
      <c r="N7" s="66"/>
      <c r="O7" s="68"/>
      <c r="P7" s="66"/>
      <c r="Q7" s="66"/>
      <c r="R7" s="68"/>
      <c r="S7" s="68"/>
      <c r="T7" s="68"/>
      <c r="U7" s="68"/>
      <c r="V7" s="66"/>
      <c r="W7" s="68"/>
      <c r="X7" s="66"/>
      <c r="Y7" s="66"/>
      <c r="Z7" s="120"/>
      <c r="AA7" s="66"/>
      <c r="AB7" s="66"/>
      <c r="AC7" s="68"/>
      <c r="AD7" s="68"/>
      <c r="AE7" s="66"/>
    </row>
    <row r="8" spans="1:31" s="17" customFormat="1" ht="22.5" x14ac:dyDescent="0.25">
      <c r="A8" s="71"/>
      <c r="B8" s="73"/>
      <c r="C8" s="80"/>
      <c r="D8" s="45">
        <v>303</v>
      </c>
      <c r="E8" s="41" t="s">
        <v>4</v>
      </c>
      <c r="F8" s="42">
        <f>D8/1257</f>
        <v>0.24105011933174225</v>
      </c>
      <c r="G8" s="71"/>
      <c r="H8" s="66"/>
      <c r="I8" s="66"/>
      <c r="J8" s="66"/>
      <c r="K8" s="66"/>
      <c r="L8" s="66"/>
      <c r="M8" s="66"/>
      <c r="N8" s="66"/>
      <c r="O8" s="69"/>
      <c r="P8" s="66"/>
      <c r="Q8" s="66"/>
      <c r="R8" s="69"/>
      <c r="S8" s="69"/>
      <c r="T8" s="69"/>
      <c r="U8" s="69"/>
      <c r="V8" s="66"/>
      <c r="W8" s="69"/>
      <c r="X8" s="66"/>
      <c r="Y8" s="66"/>
      <c r="Z8" s="120"/>
      <c r="AA8" s="66"/>
      <c r="AB8" s="66"/>
      <c r="AC8" s="69"/>
      <c r="AD8" s="69"/>
      <c r="AE8" s="66"/>
    </row>
    <row r="9" spans="1:31" s="17" customFormat="1" ht="33.75" customHeight="1" x14ac:dyDescent="0.25">
      <c r="A9" s="71"/>
      <c r="B9" s="73" t="s">
        <v>61</v>
      </c>
      <c r="C9" s="78">
        <v>314</v>
      </c>
      <c r="D9" s="44">
        <v>536</v>
      </c>
      <c r="E9" s="41" t="s">
        <v>60</v>
      </c>
      <c r="F9" s="43">
        <f>D9/811</f>
        <v>0.66091245376078911</v>
      </c>
      <c r="G9" s="71"/>
      <c r="H9" s="77">
        <v>6654</v>
      </c>
      <c r="I9" s="77">
        <v>5121</v>
      </c>
      <c r="J9" s="77">
        <v>6597</v>
      </c>
      <c r="K9" s="77">
        <v>2326</v>
      </c>
      <c r="L9" s="77">
        <v>3779</v>
      </c>
      <c r="M9" s="77">
        <v>2861</v>
      </c>
      <c r="N9" s="77">
        <v>3660</v>
      </c>
      <c r="O9" s="77">
        <v>5000</v>
      </c>
      <c r="P9" s="77">
        <v>2260</v>
      </c>
      <c r="Q9" s="78">
        <v>6651</v>
      </c>
      <c r="R9" s="78">
        <v>727</v>
      </c>
      <c r="S9" s="78">
        <v>1834</v>
      </c>
      <c r="T9" s="78">
        <v>0</v>
      </c>
      <c r="U9" s="78">
        <v>16776</v>
      </c>
      <c r="V9" s="77">
        <v>3472</v>
      </c>
      <c r="W9" s="78">
        <v>1290</v>
      </c>
      <c r="X9" s="77">
        <v>699</v>
      </c>
      <c r="Y9" s="77">
        <v>2974</v>
      </c>
      <c r="Z9" s="121">
        <v>172</v>
      </c>
      <c r="AA9" s="77">
        <v>59</v>
      </c>
      <c r="AB9" s="77">
        <v>88</v>
      </c>
      <c r="AC9" s="78">
        <v>50</v>
      </c>
      <c r="AD9" s="97">
        <v>0</v>
      </c>
      <c r="AE9" s="77">
        <v>0</v>
      </c>
    </row>
    <row r="10" spans="1:31" s="17" customFormat="1" ht="22.5" x14ac:dyDescent="0.25">
      <c r="A10" s="71"/>
      <c r="B10" s="73"/>
      <c r="C10" s="79"/>
      <c r="D10" s="44">
        <v>23</v>
      </c>
      <c r="E10" s="41" t="s">
        <v>5</v>
      </c>
      <c r="F10" s="43">
        <f>D10/811</f>
        <v>2.8360049321824909E-2</v>
      </c>
      <c r="G10" s="71"/>
      <c r="H10" s="77"/>
      <c r="I10" s="77"/>
      <c r="J10" s="77"/>
      <c r="K10" s="77"/>
      <c r="L10" s="77"/>
      <c r="M10" s="77"/>
      <c r="N10" s="77"/>
      <c r="O10" s="77"/>
      <c r="P10" s="77"/>
      <c r="Q10" s="79"/>
      <c r="R10" s="79"/>
      <c r="S10" s="79"/>
      <c r="T10" s="79"/>
      <c r="U10" s="79"/>
      <c r="V10" s="77"/>
      <c r="W10" s="79"/>
      <c r="X10" s="77"/>
      <c r="Y10" s="77"/>
      <c r="Z10" s="121"/>
      <c r="AA10" s="77"/>
      <c r="AB10" s="77"/>
      <c r="AC10" s="79"/>
      <c r="AD10" s="98"/>
      <c r="AE10" s="77"/>
    </row>
    <row r="11" spans="1:31" s="17" customFormat="1" ht="11.25" x14ac:dyDescent="0.25">
      <c r="A11" s="71"/>
      <c r="B11" s="73"/>
      <c r="C11" s="79"/>
      <c r="D11" s="44">
        <v>66</v>
      </c>
      <c r="E11" s="41" t="s">
        <v>6</v>
      </c>
      <c r="F11" s="43">
        <f>D11/811</f>
        <v>8.138101109741061E-2</v>
      </c>
      <c r="G11" s="71"/>
      <c r="H11" s="77"/>
      <c r="I11" s="77"/>
      <c r="J11" s="77"/>
      <c r="K11" s="77"/>
      <c r="L11" s="77"/>
      <c r="M11" s="77"/>
      <c r="N11" s="77"/>
      <c r="O11" s="77"/>
      <c r="P11" s="77"/>
      <c r="Q11" s="79"/>
      <c r="R11" s="79"/>
      <c r="S11" s="79"/>
      <c r="T11" s="79"/>
      <c r="U11" s="79"/>
      <c r="V11" s="77"/>
      <c r="W11" s="79"/>
      <c r="X11" s="77"/>
      <c r="Y11" s="77"/>
      <c r="Z11" s="121"/>
      <c r="AA11" s="77"/>
      <c r="AB11" s="77"/>
      <c r="AC11" s="79"/>
      <c r="AD11" s="98"/>
      <c r="AE11" s="77"/>
    </row>
    <row r="12" spans="1:31" s="17" customFormat="1" ht="22.5" x14ac:dyDescent="0.25">
      <c r="A12" s="71"/>
      <c r="B12" s="73"/>
      <c r="C12" s="80"/>
      <c r="D12" s="44">
        <v>186</v>
      </c>
      <c r="E12" s="41" t="s">
        <v>4</v>
      </c>
      <c r="F12" s="43">
        <f>D12/811</f>
        <v>0.22934648581997533</v>
      </c>
      <c r="G12" s="71"/>
      <c r="H12" s="77"/>
      <c r="I12" s="77"/>
      <c r="J12" s="77"/>
      <c r="K12" s="77"/>
      <c r="L12" s="77"/>
      <c r="M12" s="77"/>
      <c r="N12" s="77"/>
      <c r="O12" s="77"/>
      <c r="P12" s="77"/>
      <c r="Q12" s="80"/>
      <c r="R12" s="80"/>
      <c r="S12" s="80"/>
      <c r="T12" s="80"/>
      <c r="U12" s="80"/>
      <c r="V12" s="77"/>
      <c r="W12" s="80"/>
      <c r="X12" s="77"/>
      <c r="Y12" s="77"/>
      <c r="Z12" s="121"/>
      <c r="AA12" s="77"/>
      <c r="AB12" s="77"/>
      <c r="AC12" s="80"/>
      <c r="AD12" s="99"/>
      <c r="AE12" s="77"/>
    </row>
    <row r="13" spans="1:31" s="17" customFormat="1" ht="33.75" x14ac:dyDescent="0.25">
      <c r="A13" s="71"/>
      <c r="B13" s="73" t="s">
        <v>31</v>
      </c>
      <c r="C13" s="78">
        <v>2488</v>
      </c>
      <c r="D13" s="44">
        <v>5409</v>
      </c>
      <c r="E13" s="41" t="s">
        <v>60</v>
      </c>
      <c r="F13" s="43">
        <f>D13/7258</f>
        <v>0.74524662441443923</v>
      </c>
      <c r="G13" s="71"/>
      <c r="H13" s="77">
        <v>92715</v>
      </c>
      <c r="I13" s="77">
        <v>70724</v>
      </c>
      <c r="J13" s="77">
        <v>39879</v>
      </c>
      <c r="K13" s="77">
        <v>32118</v>
      </c>
      <c r="L13" s="77">
        <v>40916</v>
      </c>
      <c r="M13" s="77">
        <v>25650</v>
      </c>
      <c r="N13" s="77">
        <v>46621</v>
      </c>
      <c r="O13" s="77">
        <v>33549</v>
      </c>
      <c r="P13" s="77">
        <v>22428</v>
      </c>
      <c r="Q13" s="78">
        <v>72849</v>
      </c>
      <c r="R13" s="78">
        <v>6482</v>
      </c>
      <c r="S13" s="78">
        <v>29091</v>
      </c>
      <c r="T13" s="78">
        <v>1934</v>
      </c>
      <c r="U13" s="78">
        <v>107079</v>
      </c>
      <c r="V13" s="77">
        <v>23062</v>
      </c>
      <c r="W13" s="78">
        <v>5460</v>
      </c>
      <c r="X13" s="77">
        <v>1564</v>
      </c>
      <c r="Y13" s="77">
        <v>11189</v>
      </c>
      <c r="Z13" s="121">
        <v>470</v>
      </c>
      <c r="AA13" s="77">
        <v>327</v>
      </c>
      <c r="AB13" s="77">
        <v>916</v>
      </c>
      <c r="AC13" s="78">
        <v>184</v>
      </c>
      <c r="AD13" s="97">
        <v>11</v>
      </c>
      <c r="AE13" s="77">
        <v>126</v>
      </c>
    </row>
    <row r="14" spans="1:31" s="17" customFormat="1" ht="22.5" x14ac:dyDescent="0.25">
      <c r="A14" s="71"/>
      <c r="B14" s="73"/>
      <c r="C14" s="79"/>
      <c r="D14" s="44">
        <v>128</v>
      </c>
      <c r="E14" s="41" t="s">
        <v>5</v>
      </c>
      <c r="F14" s="43">
        <f>D14/7258</f>
        <v>1.7635712317442823E-2</v>
      </c>
      <c r="G14" s="71"/>
      <c r="H14" s="77"/>
      <c r="I14" s="77"/>
      <c r="J14" s="77"/>
      <c r="K14" s="77"/>
      <c r="L14" s="77"/>
      <c r="M14" s="77"/>
      <c r="N14" s="77"/>
      <c r="O14" s="77"/>
      <c r="P14" s="77"/>
      <c r="Q14" s="79"/>
      <c r="R14" s="79"/>
      <c r="S14" s="79"/>
      <c r="T14" s="79"/>
      <c r="U14" s="79"/>
      <c r="V14" s="77"/>
      <c r="W14" s="79"/>
      <c r="X14" s="77"/>
      <c r="Y14" s="77"/>
      <c r="Z14" s="121"/>
      <c r="AA14" s="77"/>
      <c r="AB14" s="77"/>
      <c r="AC14" s="79"/>
      <c r="AD14" s="98"/>
      <c r="AE14" s="77"/>
    </row>
    <row r="15" spans="1:31" s="17" customFormat="1" ht="11.25" x14ac:dyDescent="0.25">
      <c r="A15" s="71"/>
      <c r="B15" s="73"/>
      <c r="C15" s="79"/>
      <c r="D15" s="44">
        <v>451</v>
      </c>
      <c r="E15" s="41" t="s">
        <v>6</v>
      </c>
      <c r="F15" s="43">
        <f>D15/7258</f>
        <v>6.2138330118489946E-2</v>
      </c>
      <c r="G15" s="71"/>
      <c r="H15" s="77"/>
      <c r="I15" s="77"/>
      <c r="J15" s="77"/>
      <c r="K15" s="77"/>
      <c r="L15" s="77"/>
      <c r="M15" s="77"/>
      <c r="N15" s="77"/>
      <c r="O15" s="77"/>
      <c r="P15" s="77"/>
      <c r="Q15" s="79"/>
      <c r="R15" s="79"/>
      <c r="S15" s="79"/>
      <c r="T15" s="79"/>
      <c r="U15" s="79"/>
      <c r="V15" s="77"/>
      <c r="W15" s="79"/>
      <c r="X15" s="77"/>
      <c r="Y15" s="77"/>
      <c r="Z15" s="121"/>
      <c r="AA15" s="77"/>
      <c r="AB15" s="77"/>
      <c r="AC15" s="79"/>
      <c r="AD15" s="98"/>
      <c r="AE15" s="77"/>
    </row>
    <row r="16" spans="1:31" s="17" customFormat="1" ht="22.5" x14ac:dyDescent="0.25">
      <c r="A16" s="71"/>
      <c r="B16" s="73"/>
      <c r="C16" s="80"/>
      <c r="D16" s="44">
        <v>1270</v>
      </c>
      <c r="E16" s="41" t="s">
        <v>4</v>
      </c>
      <c r="F16" s="43">
        <f>D16/7258</f>
        <v>0.17497933314962799</v>
      </c>
      <c r="G16" s="71"/>
      <c r="H16" s="77"/>
      <c r="I16" s="77"/>
      <c r="J16" s="77"/>
      <c r="K16" s="77"/>
      <c r="L16" s="77"/>
      <c r="M16" s="77"/>
      <c r="N16" s="77"/>
      <c r="O16" s="77"/>
      <c r="P16" s="77"/>
      <c r="Q16" s="80"/>
      <c r="R16" s="80"/>
      <c r="S16" s="80"/>
      <c r="T16" s="80"/>
      <c r="U16" s="80"/>
      <c r="V16" s="77"/>
      <c r="W16" s="80"/>
      <c r="X16" s="77"/>
      <c r="Y16" s="77"/>
      <c r="Z16" s="121"/>
      <c r="AA16" s="77"/>
      <c r="AB16" s="77"/>
      <c r="AC16" s="80"/>
      <c r="AD16" s="99"/>
      <c r="AE16" s="77"/>
    </row>
    <row r="17" spans="1:73" s="17" customFormat="1" ht="32.25" customHeight="1" x14ac:dyDescent="0.25">
      <c r="A17" s="71"/>
      <c r="B17" s="73" t="s">
        <v>36</v>
      </c>
      <c r="C17" s="78">
        <v>1179</v>
      </c>
      <c r="D17" s="44">
        <v>2265</v>
      </c>
      <c r="E17" s="41" t="s">
        <v>60</v>
      </c>
      <c r="F17" s="43">
        <f>D17/3429</f>
        <v>0.66054243219597553</v>
      </c>
      <c r="G17" s="71"/>
      <c r="H17" s="77">
        <v>35578</v>
      </c>
      <c r="I17" s="77">
        <v>34173</v>
      </c>
      <c r="J17" s="77">
        <v>14223</v>
      </c>
      <c r="K17" s="77">
        <v>11003</v>
      </c>
      <c r="L17" s="77">
        <v>15851</v>
      </c>
      <c r="M17" s="77">
        <v>11254</v>
      </c>
      <c r="N17" s="77">
        <v>19933</v>
      </c>
      <c r="O17" s="77">
        <v>11277</v>
      </c>
      <c r="P17" s="77">
        <v>6092</v>
      </c>
      <c r="Q17" s="78">
        <v>27248</v>
      </c>
      <c r="R17" s="78">
        <v>3519</v>
      </c>
      <c r="S17" s="78">
        <v>16392</v>
      </c>
      <c r="T17" s="78">
        <v>2013</v>
      </c>
      <c r="U17" s="78">
        <v>74568</v>
      </c>
      <c r="V17" s="77">
        <v>14693</v>
      </c>
      <c r="W17" s="78">
        <v>4086</v>
      </c>
      <c r="X17" s="77">
        <v>640</v>
      </c>
      <c r="Y17" s="77">
        <v>7166</v>
      </c>
      <c r="Z17" s="121">
        <v>90</v>
      </c>
      <c r="AA17" s="77">
        <v>204</v>
      </c>
      <c r="AB17" s="77">
        <v>542</v>
      </c>
      <c r="AC17" s="78">
        <v>0</v>
      </c>
      <c r="AD17" s="78">
        <v>15</v>
      </c>
      <c r="AE17" s="77">
        <v>75</v>
      </c>
    </row>
    <row r="18" spans="1:73" s="17" customFormat="1" ht="21" customHeight="1" x14ac:dyDescent="0.25">
      <c r="A18" s="71"/>
      <c r="B18" s="73"/>
      <c r="C18" s="79"/>
      <c r="D18" s="44">
        <v>73</v>
      </c>
      <c r="E18" s="41" t="s">
        <v>5</v>
      </c>
      <c r="F18" s="43">
        <f>D18/3429</f>
        <v>2.1289005540974047E-2</v>
      </c>
      <c r="G18" s="71"/>
      <c r="H18" s="77"/>
      <c r="I18" s="77"/>
      <c r="J18" s="77"/>
      <c r="K18" s="77"/>
      <c r="L18" s="77"/>
      <c r="M18" s="77"/>
      <c r="N18" s="77"/>
      <c r="O18" s="77"/>
      <c r="P18" s="77"/>
      <c r="Q18" s="79"/>
      <c r="R18" s="79"/>
      <c r="S18" s="79"/>
      <c r="T18" s="79"/>
      <c r="U18" s="79"/>
      <c r="V18" s="77"/>
      <c r="W18" s="79"/>
      <c r="X18" s="77"/>
      <c r="Y18" s="77"/>
      <c r="Z18" s="121"/>
      <c r="AA18" s="77"/>
      <c r="AB18" s="77"/>
      <c r="AC18" s="79"/>
      <c r="AD18" s="79"/>
      <c r="AE18" s="77"/>
    </row>
    <row r="19" spans="1:73" s="17" customFormat="1" ht="11.25" x14ac:dyDescent="0.25">
      <c r="A19" s="71"/>
      <c r="B19" s="73"/>
      <c r="C19" s="79"/>
      <c r="D19" s="44">
        <v>272</v>
      </c>
      <c r="E19" s="41" t="s">
        <v>6</v>
      </c>
      <c r="F19" s="43">
        <f>D19/3429</f>
        <v>7.9323417906095067E-2</v>
      </c>
      <c r="G19" s="71"/>
      <c r="H19" s="77"/>
      <c r="I19" s="77"/>
      <c r="J19" s="77"/>
      <c r="K19" s="77"/>
      <c r="L19" s="77"/>
      <c r="M19" s="77"/>
      <c r="N19" s="77"/>
      <c r="O19" s="77"/>
      <c r="P19" s="77"/>
      <c r="Q19" s="79"/>
      <c r="R19" s="79"/>
      <c r="S19" s="79"/>
      <c r="T19" s="79"/>
      <c r="U19" s="79"/>
      <c r="V19" s="77"/>
      <c r="W19" s="79"/>
      <c r="X19" s="77"/>
      <c r="Y19" s="77"/>
      <c r="Z19" s="121"/>
      <c r="AA19" s="77"/>
      <c r="AB19" s="77"/>
      <c r="AC19" s="79"/>
      <c r="AD19" s="79"/>
      <c r="AE19" s="77"/>
    </row>
    <row r="20" spans="1:73" s="17" customFormat="1" ht="22.5" x14ac:dyDescent="0.25">
      <c r="A20" s="71"/>
      <c r="B20" s="73"/>
      <c r="C20" s="80"/>
      <c r="D20" s="44">
        <v>819</v>
      </c>
      <c r="E20" s="41" t="s">
        <v>4</v>
      </c>
      <c r="F20" s="43">
        <f>D20/3429</f>
        <v>0.23884514435695539</v>
      </c>
      <c r="G20" s="71"/>
      <c r="H20" s="77"/>
      <c r="I20" s="77"/>
      <c r="J20" s="77"/>
      <c r="K20" s="77"/>
      <c r="L20" s="77"/>
      <c r="M20" s="77"/>
      <c r="N20" s="77"/>
      <c r="O20" s="77"/>
      <c r="P20" s="77"/>
      <c r="Q20" s="80"/>
      <c r="R20" s="80"/>
      <c r="S20" s="80"/>
      <c r="T20" s="80"/>
      <c r="U20" s="80"/>
      <c r="V20" s="77"/>
      <c r="W20" s="80"/>
      <c r="X20" s="77"/>
      <c r="Y20" s="77"/>
      <c r="Z20" s="121"/>
      <c r="AA20" s="77"/>
      <c r="AB20" s="77"/>
      <c r="AC20" s="80"/>
      <c r="AD20" s="80"/>
      <c r="AE20" s="77"/>
    </row>
    <row r="21" spans="1:73" s="34" customFormat="1" ht="47.25" customHeight="1" x14ac:dyDescent="0.25">
      <c r="A21" s="71"/>
      <c r="B21" s="73" t="s">
        <v>37</v>
      </c>
      <c r="C21" s="78">
        <v>429</v>
      </c>
      <c r="D21" s="45">
        <v>1043</v>
      </c>
      <c r="E21" s="41" t="s">
        <v>60</v>
      </c>
      <c r="F21" s="43">
        <f>D21/1344</f>
        <v>0.77604166666666663</v>
      </c>
      <c r="G21" s="71"/>
      <c r="H21" s="77">
        <v>13001</v>
      </c>
      <c r="I21" s="77">
        <v>8426</v>
      </c>
      <c r="J21" s="77">
        <v>5946</v>
      </c>
      <c r="K21" s="77">
        <v>3675</v>
      </c>
      <c r="L21" s="77">
        <v>5718</v>
      </c>
      <c r="M21" s="77">
        <v>4553</v>
      </c>
      <c r="N21" s="77">
        <v>7174</v>
      </c>
      <c r="O21" s="77">
        <v>5782</v>
      </c>
      <c r="P21" s="77">
        <v>1532</v>
      </c>
      <c r="Q21" s="78">
        <v>10569</v>
      </c>
      <c r="R21" s="78">
        <v>513</v>
      </c>
      <c r="S21" s="78">
        <v>5010</v>
      </c>
      <c r="T21" s="78">
        <v>636</v>
      </c>
      <c r="U21" s="78">
        <v>14828</v>
      </c>
      <c r="V21" s="77">
        <v>3894</v>
      </c>
      <c r="W21" s="78">
        <v>1260</v>
      </c>
      <c r="X21" s="77">
        <v>184</v>
      </c>
      <c r="Y21" s="77">
        <v>1380</v>
      </c>
      <c r="Z21" s="121">
        <v>184</v>
      </c>
      <c r="AA21" s="77">
        <v>59</v>
      </c>
      <c r="AB21" s="77">
        <v>133</v>
      </c>
      <c r="AC21" s="78">
        <v>37</v>
      </c>
      <c r="AD21" s="78">
        <v>3</v>
      </c>
      <c r="AE21" s="77">
        <v>405</v>
      </c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  <c r="BO21" s="17"/>
      <c r="BP21" s="17"/>
      <c r="BQ21" s="17"/>
      <c r="BR21" s="17"/>
      <c r="BS21" s="17"/>
      <c r="BT21" s="17"/>
      <c r="BU21" s="17"/>
    </row>
    <row r="22" spans="1:73" s="34" customFormat="1" ht="30" customHeight="1" x14ac:dyDescent="0.25">
      <c r="A22" s="71"/>
      <c r="B22" s="73"/>
      <c r="C22" s="79"/>
      <c r="D22" s="45">
        <v>16</v>
      </c>
      <c r="E22" s="41" t="s">
        <v>5</v>
      </c>
      <c r="F22" s="43">
        <f>D22/1344</f>
        <v>1.1904761904761904E-2</v>
      </c>
      <c r="G22" s="71"/>
      <c r="H22" s="77"/>
      <c r="I22" s="77"/>
      <c r="J22" s="77"/>
      <c r="K22" s="77"/>
      <c r="L22" s="77"/>
      <c r="M22" s="77"/>
      <c r="N22" s="77"/>
      <c r="O22" s="77"/>
      <c r="P22" s="77"/>
      <c r="Q22" s="79"/>
      <c r="R22" s="79"/>
      <c r="S22" s="79"/>
      <c r="T22" s="79"/>
      <c r="U22" s="79"/>
      <c r="V22" s="77"/>
      <c r="W22" s="79"/>
      <c r="X22" s="77"/>
      <c r="Y22" s="77"/>
      <c r="Z22" s="121"/>
      <c r="AA22" s="77"/>
      <c r="AB22" s="77"/>
      <c r="AC22" s="79"/>
      <c r="AD22" s="79"/>
      <c r="AE22" s="7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7"/>
      <c r="BK22" s="17"/>
      <c r="BL22" s="17"/>
      <c r="BM22" s="17"/>
      <c r="BN22" s="17"/>
      <c r="BO22" s="17"/>
      <c r="BP22" s="17"/>
      <c r="BQ22" s="17"/>
      <c r="BR22" s="17"/>
      <c r="BS22" s="17"/>
      <c r="BT22" s="17"/>
      <c r="BU22" s="17"/>
    </row>
    <row r="23" spans="1:73" s="34" customFormat="1" ht="11.25" x14ac:dyDescent="0.25">
      <c r="A23" s="71"/>
      <c r="B23" s="73"/>
      <c r="C23" s="79"/>
      <c r="D23" s="45">
        <v>102</v>
      </c>
      <c r="E23" s="41" t="s">
        <v>6</v>
      </c>
      <c r="F23" s="43">
        <f>D23/1344</f>
        <v>7.5892857142857137E-2</v>
      </c>
      <c r="G23" s="71"/>
      <c r="H23" s="77"/>
      <c r="I23" s="77"/>
      <c r="J23" s="77"/>
      <c r="K23" s="77"/>
      <c r="L23" s="77"/>
      <c r="M23" s="77"/>
      <c r="N23" s="77"/>
      <c r="O23" s="77"/>
      <c r="P23" s="77"/>
      <c r="Q23" s="79"/>
      <c r="R23" s="79"/>
      <c r="S23" s="79"/>
      <c r="T23" s="79"/>
      <c r="U23" s="79"/>
      <c r="V23" s="77"/>
      <c r="W23" s="79"/>
      <c r="X23" s="77"/>
      <c r="Y23" s="77"/>
      <c r="Z23" s="121"/>
      <c r="AA23" s="77"/>
      <c r="AB23" s="77"/>
      <c r="AC23" s="79"/>
      <c r="AD23" s="79"/>
      <c r="AE23" s="7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7"/>
      <c r="BK23" s="17"/>
      <c r="BL23" s="17"/>
      <c r="BM23" s="17"/>
      <c r="BN23" s="17"/>
      <c r="BO23" s="17"/>
      <c r="BP23" s="17"/>
      <c r="BQ23" s="17"/>
      <c r="BR23" s="17"/>
      <c r="BS23" s="17"/>
      <c r="BT23" s="17"/>
      <c r="BU23" s="17"/>
    </row>
    <row r="24" spans="1:73" s="17" customFormat="1" ht="25.5" customHeight="1" x14ac:dyDescent="0.25">
      <c r="A24" s="71"/>
      <c r="B24" s="73"/>
      <c r="C24" s="80"/>
      <c r="D24" s="45">
        <v>183</v>
      </c>
      <c r="E24" s="41" t="s">
        <v>4</v>
      </c>
      <c r="F24" s="43">
        <f>D24/1344</f>
        <v>0.13616071428571427</v>
      </c>
      <c r="G24" s="71"/>
      <c r="H24" s="77"/>
      <c r="I24" s="77"/>
      <c r="J24" s="77"/>
      <c r="K24" s="77"/>
      <c r="L24" s="77"/>
      <c r="M24" s="77"/>
      <c r="N24" s="77"/>
      <c r="O24" s="77"/>
      <c r="P24" s="77"/>
      <c r="Q24" s="80"/>
      <c r="R24" s="80"/>
      <c r="S24" s="80"/>
      <c r="T24" s="80"/>
      <c r="U24" s="80"/>
      <c r="V24" s="77"/>
      <c r="W24" s="80"/>
      <c r="X24" s="77"/>
      <c r="Y24" s="77"/>
      <c r="Z24" s="121"/>
      <c r="AA24" s="77"/>
      <c r="AB24" s="77"/>
      <c r="AC24" s="80"/>
      <c r="AD24" s="80"/>
      <c r="AE24" s="77"/>
    </row>
    <row r="25" spans="1:73" s="17" customFormat="1" ht="25.5" customHeight="1" x14ac:dyDescent="0.25">
      <c r="A25" s="71"/>
      <c r="B25" s="73" t="s">
        <v>35</v>
      </c>
      <c r="C25" s="78">
        <v>700</v>
      </c>
      <c r="D25" s="44">
        <v>1347</v>
      </c>
      <c r="E25" s="41" t="s">
        <v>60</v>
      </c>
      <c r="F25" s="43">
        <f>D25/1848</f>
        <v>0.72889610389610393</v>
      </c>
      <c r="G25" s="71"/>
      <c r="H25" s="77">
        <v>11480</v>
      </c>
      <c r="I25" s="77">
        <v>12798</v>
      </c>
      <c r="J25" s="77">
        <v>9334</v>
      </c>
      <c r="K25" s="77">
        <v>4690</v>
      </c>
      <c r="L25" s="78">
        <v>7813</v>
      </c>
      <c r="M25" s="78">
        <v>4848</v>
      </c>
      <c r="N25" s="78">
        <v>6626</v>
      </c>
      <c r="O25" s="78">
        <v>6076</v>
      </c>
      <c r="P25" s="78">
        <v>4987</v>
      </c>
      <c r="Q25" s="78">
        <v>11600</v>
      </c>
      <c r="R25" s="78">
        <v>666</v>
      </c>
      <c r="S25" s="78">
        <v>5445</v>
      </c>
      <c r="T25" s="78">
        <v>482</v>
      </c>
      <c r="U25" s="78">
        <v>27147</v>
      </c>
      <c r="V25" s="78">
        <v>4170</v>
      </c>
      <c r="W25" s="78">
        <v>990</v>
      </c>
      <c r="X25" s="78">
        <v>100</v>
      </c>
      <c r="Y25" s="77">
        <v>1666</v>
      </c>
      <c r="Z25" s="122">
        <v>0</v>
      </c>
      <c r="AA25" s="78">
        <v>51</v>
      </c>
      <c r="AB25" s="78">
        <v>185</v>
      </c>
      <c r="AC25" s="78">
        <v>0</v>
      </c>
      <c r="AD25" s="78">
        <v>2</v>
      </c>
      <c r="AE25" s="78">
        <v>80</v>
      </c>
    </row>
    <row r="26" spans="1:73" s="17" customFormat="1" ht="22.5" x14ac:dyDescent="0.25">
      <c r="A26" s="71"/>
      <c r="B26" s="73"/>
      <c r="C26" s="79"/>
      <c r="D26" s="44">
        <v>24</v>
      </c>
      <c r="E26" s="41" t="s">
        <v>5</v>
      </c>
      <c r="F26" s="43">
        <f>D26/1848</f>
        <v>1.2987012987012988E-2</v>
      </c>
      <c r="G26" s="71"/>
      <c r="H26" s="77"/>
      <c r="I26" s="77"/>
      <c r="J26" s="77"/>
      <c r="K26" s="77"/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9"/>
      <c r="X26" s="79"/>
      <c r="Y26" s="77"/>
      <c r="Z26" s="123"/>
      <c r="AA26" s="79"/>
      <c r="AB26" s="79"/>
      <c r="AC26" s="79"/>
      <c r="AD26" s="79"/>
      <c r="AE26" s="79"/>
    </row>
    <row r="27" spans="1:73" s="17" customFormat="1" ht="11.25" x14ac:dyDescent="0.25">
      <c r="A27" s="71"/>
      <c r="B27" s="73"/>
      <c r="C27" s="79"/>
      <c r="D27" s="44">
        <v>105</v>
      </c>
      <c r="E27" s="41" t="s">
        <v>6</v>
      </c>
      <c r="F27" s="43">
        <f>D27/1848</f>
        <v>5.6818181818181816E-2</v>
      </c>
      <c r="G27" s="71"/>
      <c r="H27" s="77"/>
      <c r="I27" s="77"/>
      <c r="J27" s="77"/>
      <c r="K27" s="77"/>
      <c r="L27" s="79"/>
      <c r="M27" s="79"/>
      <c r="N27" s="79"/>
      <c r="O27" s="79"/>
      <c r="P27" s="79"/>
      <c r="Q27" s="79"/>
      <c r="R27" s="79"/>
      <c r="S27" s="79"/>
      <c r="T27" s="79"/>
      <c r="U27" s="79"/>
      <c r="V27" s="79"/>
      <c r="W27" s="79"/>
      <c r="X27" s="79"/>
      <c r="Y27" s="77"/>
      <c r="Z27" s="123"/>
      <c r="AA27" s="79"/>
      <c r="AB27" s="79"/>
      <c r="AC27" s="79"/>
      <c r="AD27" s="79"/>
      <c r="AE27" s="79"/>
    </row>
    <row r="28" spans="1:73" s="17" customFormat="1" ht="22.5" x14ac:dyDescent="0.25">
      <c r="A28" s="71"/>
      <c r="B28" s="73"/>
      <c r="C28" s="80"/>
      <c r="D28" s="44">
        <v>372</v>
      </c>
      <c r="E28" s="41" t="s">
        <v>4</v>
      </c>
      <c r="F28" s="43">
        <f>D28/1848</f>
        <v>0.20129870129870131</v>
      </c>
      <c r="G28" s="71"/>
      <c r="H28" s="77"/>
      <c r="I28" s="77"/>
      <c r="J28" s="77"/>
      <c r="K28" s="77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77"/>
      <c r="Z28" s="124"/>
      <c r="AA28" s="80"/>
      <c r="AB28" s="80"/>
      <c r="AC28" s="80"/>
      <c r="AD28" s="80"/>
      <c r="AE28" s="80"/>
    </row>
    <row r="29" spans="1:73" s="17" customFormat="1" ht="33.75" x14ac:dyDescent="0.25">
      <c r="A29" s="71"/>
      <c r="B29" s="73" t="s">
        <v>54</v>
      </c>
      <c r="C29" s="78">
        <v>786</v>
      </c>
      <c r="D29" s="44">
        <v>1470</v>
      </c>
      <c r="E29" s="41" t="s">
        <v>60</v>
      </c>
      <c r="F29" s="43">
        <f>D29/2058</f>
        <v>0.7142857142857143</v>
      </c>
      <c r="G29" s="71"/>
      <c r="H29" s="77">
        <v>16806</v>
      </c>
      <c r="I29" s="77">
        <v>24800</v>
      </c>
      <c r="J29" s="77">
        <v>6498</v>
      </c>
      <c r="K29" s="77">
        <v>4998</v>
      </c>
      <c r="L29" s="77">
        <v>9923</v>
      </c>
      <c r="M29" s="77">
        <v>4800</v>
      </c>
      <c r="N29" s="77">
        <v>11294</v>
      </c>
      <c r="O29" s="77">
        <v>11194</v>
      </c>
      <c r="P29" s="77">
        <v>4209</v>
      </c>
      <c r="Q29" s="78">
        <v>11450</v>
      </c>
      <c r="R29" s="78">
        <v>734</v>
      </c>
      <c r="S29" s="78">
        <v>4726</v>
      </c>
      <c r="T29" s="78">
        <v>1003</v>
      </c>
      <c r="U29" s="78">
        <v>27340</v>
      </c>
      <c r="V29" s="77">
        <v>6980</v>
      </c>
      <c r="W29" s="78">
        <v>3329</v>
      </c>
      <c r="X29" s="77">
        <v>660</v>
      </c>
      <c r="Y29" s="77">
        <v>4892</v>
      </c>
      <c r="Z29" s="121">
        <v>46</v>
      </c>
      <c r="AA29" s="77">
        <v>161</v>
      </c>
      <c r="AB29" s="77">
        <v>267</v>
      </c>
      <c r="AC29" s="78">
        <v>37</v>
      </c>
      <c r="AD29" s="78">
        <v>11</v>
      </c>
      <c r="AE29" s="77">
        <v>108</v>
      </c>
    </row>
    <row r="30" spans="1:73" s="17" customFormat="1" ht="24" customHeight="1" x14ac:dyDescent="0.25">
      <c r="A30" s="71"/>
      <c r="B30" s="73"/>
      <c r="C30" s="79"/>
      <c r="D30" s="44">
        <v>52</v>
      </c>
      <c r="E30" s="41" t="s">
        <v>5</v>
      </c>
      <c r="F30" s="43">
        <f>D30/2058</f>
        <v>2.5267249757045675E-2</v>
      </c>
      <c r="G30" s="71"/>
      <c r="H30" s="77"/>
      <c r="I30" s="77"/>
      <c r="J30" s="77"/>
      <c r="K30" s="77"/>
      <c r="L30" s="77"/>
      <c r="M30" s="77"/>
      <c r="N30" s="77"/>
      <c r="O30" s="77"/>
      <c r="P30" s="77"/>
      <c r="Q30" s="79"/>
      <c r="R30" s="79"/>
      <c r="S30" s="79"/>
      <c r="T30" s="79"/>
      <c r="U30" s="79"/>
      <c r="V30" s="77"/>
      <c r="W30" s="79"/>
      <c r="X30" s="77"/>
      <c r="Y30" s="77"/>
      <c r="Z30" s="121"/>
      <c r="AA30" s="77"/>
      <c r="AB30" s="77"/>
      <c r="AC30" s="79"/>
      <c r="AD30" s="79"/>
      <c r="AE30" s="77"/>
    </row>
    <row r="31" spans="1:73" s="17" customFormat="1" ht="19.5" customHeight="1" x14ac:dyDescent="0.25">
      <c r="A31" s="71"/>
      <c r="B31" s="73"/>
      <c r="C31" s="79"/>
      <c r="D31" s="44">
        <v>175</v>
      </c>
      <c r="E31" s="41" t="s">
        <v>6</v>
      </c>
      <c r="F31" s="43">
        <f>D31/2058</f>
        <v>8.5034013605442174E-2</v>
      </c>
      <c r="G31" s="71"/>
      <c r="H31" s="77"/>
      <c r="I31" s="77"/>
      <c r="J31" s="77"/>
      <c r="K31" s="77"/>
      <c r="L31" s="77"/>
      <c r="M31" s="77"/>
      <c r="N31" s="77"/>
      <c r="O31" s="77"/>
      <c r="P31" s="77"/>
      <c r="Q31" s="79"/>
      <c r="R31" s="79"/>
      <c r="S31" s="79"/>
      <c r="T31" s="79"/>
      <c r="U31" s="79"/>
      <c r="V31" s="77"/>
      <c r="W31" s="79"/>
      <c r="X31" s="77"/>
      <c r="Y31" s="77"/>
      <c r="Z31" s="121"/>
      <c r="AA31" s="77"/>
      <c r="AB31" s="77"/>
      <c r="AC31" s="79"/>
      <c r="AD31" s="79"/>
      <c r="AE31" s="77"/>
    </row>
    <row r="32" spans="1:73" s="17" customFormat="1" ht="28.5" customHeight="1" x14ac:dyDescent="0.25">
      <c r="A32" s="71"/>
      <c r="B32" s="73"/>
      <c r="C32" s="80"/>
      <c r="D32" s="44">
        <v>361</v>
      </c>
      <c r="E32" s="41" t="s">
        <v>4</v>
      </c>
      <c r="F32" s="43">
        <f>D32/2058</f>
        <v>0.17541302235179787</v>
      </c>
      <c r="G32" s="71"/>
      <c r="H32" s="77"/>
      <c r="I32" s="77"/>
      <c r="J32" s="77"/>
      <c r="K32" s="77"/>
      <c r="L32" s="77"/>
      <c r="M32" s="77"/>
      <c r="N32" s="77"/>
      <c r="O32" s="77"/>
      <c r="P32" s="77"/>
      <c r="Q32" s="80"/>
      <c r="R32" s="80"/>
      <c r="S32" s="80"/>
      <c r="T32" s="80"/>
      <c r="U32" s="80"/>
      <c r="V32" s="77"/>
      <c r="W32" s="80"/>
      <c r="X32" s="77"/>
      <c r="Y32" s="77"/>
      <c r="Z32" s="121"/>
      <c r="AA32" s="77"/>
      <c r="AB32" s="77"/>
      <c r="AC32" s="80"/>
      <c r="AD32" s="80"/>
      <c r="AE32" s="77"/>
    </row>
    <row r="33" spans="1:31" s="17" customFormat="1" ht="33.75" x14ac:dyDescent="0.25">
      <c r="A33" s="71"/>
      <c r="B33" s="73" t="s">
        <v>38</v>
      </c>
      <c r="C33" s="78">
        <v>142</v>
      </c>
      <c r="D33" s="44">
        <v>321</v>
      </c>
      <c r="E33" s="41" t="s">
        <v>60</v>
      </c>
      <c r="F33" s="43">
        <f>D33/435</f>
        <v>0.73793103448275865</v>
      </c>
      <c r="G33" s="71"/>
      <c r="H33" s="77">
        <v>5283</v>
      </c>
      <c r="I33" s="77">
        <v>2280</v>
      </c>
      <c r="J33" s="77">
        <v>2886</v>
      </c>
      <c r="K33" s="77">
        <v>2098</v>
      </c>
      <c r="L33" s="77">
        <v>3162</v>
      </c>
      <c r="M33" s="77">
        <v>1300</v>
      </c>
      <c r="N33" s="77">
        <v>2382</v>
      </c>
      <c r="O33" s="77">
        <v>1690</v>
      </c>
      <c r="P33" s="77">
        <v>336</v>
      </c>
      <c r="Q33" s="78">
        <v>3905</v>
      </c>
      <c r="R33" s="78">
        <v>313</v>
      </c>
      <c r="S33" s="78">
        <v>1748</v>
      </c>
      <c r="T33" s="78">
        <v>242</v>
      </c>
      <c r="U33" s="78">
        <v>7938</v>
      </c>
      <c r="V33" s="77">
        <v>1682</v>
      </c>
      <c r="W33" s="78">
        <v>480</v>
      </c>
      <c r="X33" s="77">
        <v>0</v>
      </c>
      <c r="Y33" s="77">
        <v>736</v>
      </c>
      <c r="Z33" s="121">
        <v>0</v>
      </c>
      <c r="AA33" s="77">
        <v>36</v>
      </c>
      <c r="AB33" s="77">
        <v>39</v>
      </c>
      <c r="AC33" s="78">
        <v>0</v>
      </c>
      <c r="AD33" s="78">
        <v>2</v>
      </c>
      <c r="AE33" s="77">
        <v>46</v>
      </c>
    </row>
    <row r="34" spans="1:31" s="17" customFormat="1" ht="22.5" x14ac:dyDescent="0.25">
      <c r="A34" s="71"/>
      <c r="B34" s="73"/>
      <c r="C34" s="79"/>
      <c r="D34" s="44">
        <v>7</v>
      </c>
      <c r="E34" s="41" t="s">
        <v>5</v>
      </c>
      <c r="F34" s="43">
        <f>D34/435</f>
        <v>1.6091954022988506E-2</v>
      </c>
      <c r="G34" s="71"/>
      <c r="H34" s="77"/>
      <c r="I34" s="77"/>
      <c r="J34" s="77"/>
      <c r="K34" s="77"/>
      <c r="L34" s="77"/>
      <c r="M34" s="77"/>
      <c r="N34" s="77"/>
      <c r="O34" s="77"/>
      <c r="P34" s="77"/>
      <c r="Q34" s="79"/>
      <c r="R34" s="79"/>
      <c r="S34" s="79"/>
      <c r="T34" s="79"/>
      <c r="U34" s="79"/>
      <c r="V34" s="77"/>
      <c r="W34" s="79"/>
      <c r="X34" s="77"/>
      <c r="Y34" s="77"/>
      <c r="Z34" s="121"/>
      <c r="AA34" s="77"/>
      <c r="AB34" s="77"/>
      <c r="AC34" s="79"/>
      <c r="AD34" s="79"/>
      <c r="AE34" s="77"/>
    </row>
    <row r="35" spans="1:31" s="17" customFormat="1" ht="11.25" x14ac:dyDescent="0.25">
      <c r="A35" s="71"/>
      <c r="B35" s="73"/>
      <c r="C35" s="79"/>
      <c r="D35" s="44">
        <v>32</v>
      </c>
      <c r="E35" s="41" t="s">
        <v>6</v>
      </c>
      <c r="F35" s="43">
        <f>D35/435</f>
        <v>7.3563218390804597E-2</v>
      </c>
      <c r="G35" s="71"/>
      <c r="H35" s="77"/>
      <c r="I35" s="77"/>
      <c r="J35" s="77"/>
      <c r="K35" s="77"/>
      <c r="L35" s="77"/>
      <c r="M35" s="77"/>
      <c r="N35" s="77"/>
      <c r="O35" s="77"/>
      <c r="P35" s="77"/>
      <c r="Q35" s="79"/>
      <c r="R35" s="79"/>
      <c r="S35" s="79"/>
      <c r="T35" s="79"/>
      <c r="U35" s="79"/>
      <c r="V35" s="77"/>
      <c r="W35" s="79"/>
      <c r="X35" s="77"/>
      <c r="Y35" s="77"/>
      <c r="Z35" s="121"/>
      <c r="AA35" s="77"/>
      <c r="AB35" s="77"/>
      <c r="AC35" s="79"/>
      <c r="AD35" s="79"/>
      <c r="AE35" s="77"/>
    </row>
    <row r="36" spans="1:31" s="17" customFormat="1" ht="30" customHeight="1" x14ac:dyDescent="0.25">
      <c r="A36" s="71"/>
      <c r="B36" s="73"/>
      <c r="C36" s="80"/>
      <c r="D36" s="44">
        <v>75</v>
      </c>
      <c r="E36" s="41" t="s">
        <v>4</v>
      </c>
      <c r="F36" s="43">
        <f>D36/435</f>
        <v>0.17241379310344829</v>
      </c>
      <c r="G36" s="71"/>
      <c r="H36" s="77"/>
      <c r="I36" s="77"/>
      <c r="J36" s="77"/>
      <c r="K36" s="77"/>
      <c r="L36" s="77"/>
      <c r="M36" s="77"/>
      <c r="N36" s="77"/>
      <c r="O36" s="77"/>
      <c r="P36" s="77"/>
      <c r="Q36" s="80"/>
      <c r="R36" s="80"/>
      <c r="S36" s="80"/>
      <c r="T36" s="80"/>
      <c r="U36" s="80"/>
      <c r="V36" s="77"/>
      <c r="W36" s="80"/>
      <c r="X36" s="77"/>
      <c r="Y36" s="77"/>
      <c r="Z36" s="121"/>
      <c r="AA36" s="77"/>
      <c r="AB36" s="77"/>
      <c r="AC36" s="80"/>
      <c r="AD36" s="80"/>
      <c r="AE36" s="77"/>
    </row>
    <row r="37" spans="1:31" s="17" customFormat="1" ht="20.25" customHeight="1" x14ac:dyDescent="0.25">
      <c r="A37" s="71"/>
      <c r="B37" s="73" t="s">
        <v>62</v>
      </c>
      <c r="C37" s="78">
        <v>2432</v>
      </c>
      <c r="D37" s="44">
        <v>4412</v>
      </c>
      <c r="E37" s="41" t="s">
        <v>60</v>
      </c>
      <c r="F37" s="43">
        <f>D37/6702</f>
        <v>0.6583109519546404</v>
      </c>
      <c r="G37" s="71"/>
      <c r="H37" s="77">
        <v>56948</v>
      </c>
      <c r="I37" s="77">
        <v>36798</v>
      </c>
      <c r="J37" s="77">
        <v>71245</v>
      </c>
      <c r="K37" s="77">
        <v>27532</v>
      </c>
      <c r="L37" s="77">
        <v>35799</v>
      </c>
      <c r="M37" s="77">
        <v>14788</v>
      </c>
      <c r="N37" s="77">
        <v>52001</v>
      </c>
      <c r="O37" s="77">
        <v>28598</v>
      </c>
      <c r="P37" s="77">
        <v>16670</v>
      </c>
      <c r="Q37" s="78">
        <v>51823</v>
      </c>
      <c r="R37" s="78">
        <v>2832</v>
      </c>
      <c r="S37" s="78">
        <v>28932</v>
      </c>
      <c r="T37" s="78">
        <v>1503</v>
      </c>
      <c r="U37" s="78">
        <v>146305</v>
      </c>
      <c r="V37" s="77">
        <v>33925</v>
      </c>
      <c r="W37" s="78">
        <v>10413</v>
      </c>
      <c r="X37" s="77">
        <v>2928</v>
      </c>
      <c r="Y37" s="77">
        <v>25908</v>
      </c>
      <c r="Z37" s="121">
        <v>580</v>
      </c>
      <c r="AA37" s="77">
        <v>440</v>
      </c>
      <c r="AB37" s="77">
        <v>1335</v>
      </c>
      <c r="AC37" s="78">
        <v>138</v>
      </c>
      <c r="AD37" s="78">
        <v>38</v>
      </c>
      <c r="AE37" s="77">
        <v>571</v>
      </c>
    </row>
    <row r="38" spans="1:31" s="17" customFormat="1" ht="20.25" customHeight="1" x14ac:dyDescent="0.25">
      <c r="A38" s="71"/>
      <c r="B38" s="73"/>
      <c r="C38" s="79"/>
      <c r="D38" s="44">
        <v>254</v>
      </c>
      <c r="E38" s="41" t="s">
        <v>5</v>
      </c>
      <c r="F38" s="43">
        <f>D38/6702</f>
        <v>3.7899134586690537E-2</v>
      </c>
      <c r="G38" s="71"/>
      <c r="H38" s="77"/>
      <c r="I38" s="77"/>
      <c r="J38" s="77"/>
      <c r="K38" s="77"/>
      <c r="L38" s="77"/>
      <c r="M38" s="77"/>
      <c r="N38" s="77"/>
      <c r="O38" s="77"/>
      <c r="P38" s="77"/>
      <c r="Q38" s="79"/>
      <c r="R38" s="79"/>
      <c r="S38" s="79"/>
      <c r="T38" s="79"/>
      <c r="U38" s="79"/>
      <c r="V38" s="77"/>
      <c r="W38" s="79"/>
      <c r="X38" s="77"/>
      <c r="Y38" s="77"/>
      <c r="Z38" s="121"/>
      <c r="AA38" s="77"/>
      <c r="AB38" s="77"/>
      <c r="AC38" s="79"/>
      <c r="AD38" s="79"/>
      <c r="AE38" s="77"/>
    </row>
    <row r="39" spans="1:31" s="17" customFormat="1" ht="11.25" x14ac:dyDescent="0.25">
      <c r="A39" s="71"/>
      <c r="B39" s="73"/>
      <c r="C39" s="79"/>
      <c r="D39" s="44">
        <v>575</v>
      </c>
      <c r="E39" s="41" t="s">
        <v>6</v>
      </c>
      <c r="F39" s="43">
        <f>D39/6702</f>
        <v>8.5795284989555354E-2</v>
      </c>
      <c r="G39" s="71"/>
      <c r="H39" s="77"/>
      <c r="I39" s="77"/>
      <c r="J39" s="77"/>
      <c r="K39" s="77"/>
      <c r="L39" s="77"/>
      <c r="M39" s="77"/>
      <c r="N39" s="77"/>
      <c r="O39" s="77"/>
      <c r="P39" s="77"/>
      <c r="Q39" s="79"/>
      <c r="R39" s="79"/>
      <c r="S39" s="79"/>
      <c r="T39" s="79"/>
      <c r="U39" s="79"/>
      <c r="V39" s="77"/>
      <c r="W39" s="79"/>
      <c r="X39" s="77"/>
      <c r="Y39" s="77"/>
      <c r="Z39" s="121"/>
      <c r="AA39" s="77"/>
      <c r="AB39" s="77"/>
      <c r="AC39" s="79"/>
      <c r="AD39" s="79"/>
      <c r="AE39" s="77"/>
    </row>
    <row r="40" spans="1:31" s="17" customFormat="1" ht="24.75" customHeight="1" x14ac:dyDescent="0.25">
      <c r="A40" s="71"/>
      <c r="B40" s="73"/>
      <c r="C40" s="80"/>
      <c r="D40" s="44">
        <v>1461</v>
      </c>
      <c r="E40" s="41" t="s">
        <v>4</v>
      </c>
      <c r="F40" s="43">
        <f>D40/6702</f>
        <v>0.21799462846911369</v>
      </c>
      <c r="G40" s="71"/>
      <c r="H40" s="77"/>
      <c r="I40" s="77"/>
      <c r="J40" s="77"/>
      <c r="K40" s="77"/>
      <c r="L40" s="77"/>
      <c r="M40" s="77"/>
      <c r="N40" s="77"/>
      <c r="O40" s="77"/>
      <c r="P40" s="77"/>
      <c r="Q40" s="80"/>
      <c r="R40" s="80"/>
      <c r="S40" s="80"/>
      <c r="T40" s="80"/>
      <c r="U40" s="80"/>
      <c r="V40" s="77"/>
      <c r="W40" s="80"/>
      <c r="X40" s="77"/>
      <c r="Y40" s="77"/>
      <c r="Z40" s="121"/>
      <c r="AA40" s="77"/>
      <c r="AB40" s="77"/>
      <c r="AC40" s="80"/>
      <c r="AD40" s="80"/>
      <c r="AE40" s="77"/>
    </row>
    <row r="41" spans="1:31" s="17" customFormat="1" ht="33.75" x14ac:dyDescent="0.25">
      <c r="A41" s="71"/>
      <c r="B41" s="73" t="s">
        <v>40</v>
      </c>
      <c r="C41" s="78">
        <v>670</v>
      </c>
      <c r="D41" s="44">
        <v>1262</v>
      </c>
      <c r="E41" s="41" t="s">
        <v>60</v>
      </c>
      <c r="F41" s="43">
        <f>D41/1870</f>
        <v>0.67486631016042786</v>
      </c>
      <c r="G41" s="71"/>
      <c r="H41" s="77">
        <v>11134</v>
      </c>
      <c r="I41" s="77">
        <v>10280</v>
      </c>
      <c r="J41" s="77">
        <v>11773</v>
      </c>
      <c r="K41" s="77">
        <v>5057</v>
      </c>
      <c r="L41" s="77">
        <v>7279</v>
      </c>
      <c r="M41" s="77">
        <v>3567</v>
      </c>
      <c r="N41" s="77">
        <v>13537</v>
      </c>
      <c r="O41" s="77">
        <v>3621</v>
      </c>
      <c r="P41" s="77">
        <v>2600</v>
      </c>
      <c r="Q41" s="78">
        <v>13893</v>
      </c>
      <c r="R41" s="78">
        <v>1167</v>
      </c>
      <c r="S41" s="78">
        <v>7942</v>
      </c>
      <c r="T41" s="78">
        <v>226</v>
      </c>
      <c r="U41" s="78">
        <v>28792</v>
      </c>
      <c r="V41" s="77">
        <v>10683</v>
      </c>
      <c r="W41" s="78">
        <v>2642</v>
      </c>
      <c r="X41" s="77">
        <v>474</v>
      </c>
      <c r="Y41" s="77">
        <v>7669</v>
      </c>
      <c r="Z41" s="121">
        <v>0</v>
      </c>
      <c r="AA41" s="77">
        <v>70</v>
      </c>
      <c r="AB41" s="77">
        <v>128</v>
      </c>
      <c r="AC41" s="78">
        <v>0</v>
      </c>
      <c r="AD41" s="78">
        <v>5</v>
      </c>
      <c r="AE41" s="77">
        <v>15</v>
      </c>
    </row>
    <row r="42" spans="1:31" s="17" customFormat="1" ht="24.75" customHeight="1" x14ac:dyDescent="0.25">
      <c r="A42" s="71"/>
      <c r="B42" s="73"/>
      <c r="C42" s="79"/>
      <c r="D42" s="44">
        <v>74</v>
      </c>
      <c r="E42" s="41" t="s">
        <v>5</v>
      </c>
      <c r="F42" s="43">
        <f>D42/1870</f>
        <v>3.9572192513368985E-2</v>
      </c>
      <c r="G42" s="71"/>
      <c r="H42" s="77"/>
      <c r="I42" s="77"/>
      <c r="J42" s="77"/>
      <c r="K42" s="77"/>
      <c r="L42" s="77"/>
      <c r="M42" s="77"/>
      <c r="N42" s="77"/>
      <c r="O42" s="77"/>
      <c r="P42" s="77"/>
      <c r="Q42" s="79"/>
      <c r="R42" s="79"/>
      <c r="S42" s="79"/>
      <c r="T42" s="79"/>
      <c r="U42" s="79"/>
      <c r="V42" s="77"/>
      <c r="W42" s="79"/>
      <c r="X42" s="77"/>
      <c r="Y42" s="77"/>
      <c r="Z42" s="121"/>
      <c r="AA42" s="77"/>
      <c r="AB42" s="77"/>
      <c r="AC42" s="79"/>
      <c r="AD42" s="79"/>
      <c r="AE42" s="77"/>
    </row>
    <row r="43" spans="1:31" s="17" customFormat="1" ht="11.25" x14ac:dyDescent="0.25">
      <c r="A43" s="71"/>
      <c r="B43" s="73"/>
      <c r="C43" s="79"/>
      <c r="D43" s="44">
        <v>94</v>
      </c>
      <c r="E43" s="41" t="s">
        <v>6</v>
      </c>
      <c r="F43" s="43">
        <f>D43/1870</f>
        <v>5.0267379679144387E-2</v>
      </c>
      <c r="G43" s="71"/>
      <c r="H43" s="77"/>
      <c r="I43" s="77"/>
      <c r="J43" s="77"/>
      <c r="K43" s="77"/>
      <c r="L43" s="77"/>
      <c r="M43" s="77"/>
      <c r="N43" s="77"/>
      <c r="O43" s="77"/>
      <c r="P43" s="77"/>
      <c r="Q43" s="79"/>
      <c r="R43" s="79"/>
      <c r="S43" s="79"/>
      <c r="T43" s="79"/>
      <c r="U43" s="79"/>
      <c r="V43" s="77"/>
      <c r="W43" s="79"/>
      <c r="X43" s="77"/>
      <c r="Y43" s="77"/>
      <c r="Z43" s="121"/>
      <c r="AA43" s="77"/>
      <c r="AB43" s="77"/>
      <c r="AC43" s="79"/>
      <c r="AD43" s="79"/>
      <c r="AE43" s="77"/>
    </row>
    <row r="44" spans="1:31" s="17" customFormat="1" ht="22.5" x14ac:dyDescent="0.25">
      <c r="A44" s="71"/>
      <c r="B44" s="73"/>
      <c r="C44" s="80"/>
      <c r="D44" s="44">
        <v>440</v>
      </c>
      <c r="E44" s="41" t="s">
        <v>4</v>
      </c>
      <c r="F44" s="43">
        <f>D44/1870</f>
        <v>0.23529411764705882</v>
      </c>
      <c r="G44" s="71"/>
      <c r="H44" s="77"/>
      <c r="I44" s="77"/>
      <c r="J44" s="77"/>
      <c r="K44" s="77"/>
      <c r="L44" s="77"/>
      <c r="M44" s="77"/>
      <c r="N44" s="77"/>
      <c r="O44" s="77"/>
      <c r="P44" s="77"/>
      <c r="Q44" s="80"/>
      <c r="R44" s="80"/>
      <c r="S44" s="80"/>
      <c r="T44" s="80"/>
      <c r="U44" s="80"/>
      <c r="V44" s="77"/>
      <c r="W44" s="80"/>
      <c r="X44" s="77"/>
      <c r="Y44" s="77"/>
      <c r="Z44" s="121"/>
      <c r="AA44" s="77"/>
      <c r="AB44" s="77"/>
      <c r="AC44" s="80"/>
      <c r="AD44" s="80"/>
      <c r="AE44" s="77"/>
    </row>
    <row r="45" spans="1:31" s="17" customFormat="1" ht="33" customHeight="1" x14ac:dyDescent="0.25">
      <c r="A45" s="71"/>
      <c r="B45" s="73" t="s">
        <v>39</v>
      </c>
      <c r="C45" s="78">
        <v>1153</v>
      </c>
      <c r="D45" s="44">
        <v>2165</v>
      </c>
      <c r="E45" s="41" t="s">
        <v>60</v>
      </c>
      <c r="F45" s="43">
        <f>D45/3111</f>
        <v>0.69591771134683378</v>
      </c>
      <c r="G45" s="71"/>
      <c r="H45" s="78">
        <v>38117</v>
      </c>
      <c r="I45" s="78">
        <v>20850</v>
      </c>
      <c r="J45" s="78">
        <v>14826</v>
      </c>
      <c r="K45" s="78">
        <v>11516</v>
      </c>
      <c r="L45" s="78">
        <v>13453</v>
      </c>
      <c r="M45" s="78">
        <v>8180</v>
      </c>
      <c r="N45" s="78">
        <v>25208</v>
      </c>
      <c r="O45" s="78">
        <v>16682</v>
      </c>
      <c r="P45" s="78">
        <v>5880</v>
      </c>
      <c r="Q45" s="78">
        <v>22985</v>
      </c>
      <c r="R45" s="78">
        <v>1074</v>
      </c>
      <c r="S45" s="78">
        <v>10921</v>
      </c>
      <c r="T45" s="78">
        <v>620</v>
      </c>
      <c r="U45" s="78">
        <v>63554</v>
      </c>
      <c r="V45" s="78">
        <v>12941</v>
      </c>
      <c r="W45" s="78">
        <v>3660</v>
      </c>
      <c r="X45" s="78">
        <v>2348</v>
      </c>
      <c r="Y45" s="77">
        <v>7372</v>
      </c>
      <c r="Z45" s="122">
        <v>105</v>
      </c>
      <c r="AA45" s="78">
        <v>183</v>
      </c>
      <c r="AB45" s="78">
        <v>527</v>
      </c>
      <c r="AC45" s="78">
        <v>0</v>
      </c>
      <c r="AD45" s="78">
        <v>8</v>
      </c>
      <c r="AE45" s="78">
        <v>80</v>
      </c>
    </row>
    <row r="46" spans="1:31" s="17" customFormat="1" ht="33" customHeight="1" x14ac:dyDescent="0.25">
      <c r="A46" s="71"/>
      <c r="B46" s="73"/>
      <c r="C46" s="79"/>
      <c r="D46" s="44">
        <v>81</v>
      </c>
      <c r="E46" s="41" t="s">
        <v>5</v>
      </c>
      <c r="F46" s="43">
        <f>D46/3111</f>
        <v>2.6036644165863067E-2</v>
      </c>
      <c r="G46" s="71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7"/>
      <c r="Z46" s="123"/>
      <c r="AA46" s="79"/>
      <c r="AB46" s="79"/>
      <c r="AC46" s="79"/>
      <c r="AD46" s="79"/>
      <c r="AE46" s="79"/>
    </row>
    <row r="47" spans="1:31" s="17" customFormat="1" ht="33" customHeight="1" x14ac:dyDescent="0.25">
      <c r="A47" s="71"/>
      <c r="B47" s="73"/>
      <c r="C47" s="79"/>
      <c r="D47" s="44">
        <v>251</v>
      </c>
      <c r="E47" s="41" t="s">
        <v>6</v>
      </c>
      <c r="F47" s="43">
        <f>D47/3111</f>
        <v>8.0681452909032461E-2</v>
      </c>
      <c r="G47" s="71"/>
      <c r="H47" s="79"/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79"/>
      <c r="Y47" s="77"/>
      <c r="Z47" s="123"/>
      <c r="AA47" s="79"/>
      <c r="AB47" s="79"/>
      <c r="AC47" s="79"/>
      <c r="AD47" s="79"/>
      <c r="AE47" s="79"/>
    </row>
    <row r="48" spans="1:31" s="17" customFormat="1" ht="33" customHeight="1" x14ac:dyDescent="0.25">
      <c r="A48" s="72"/>
      <c r="B48" s="73"/>
      <c r="C48" s="80"/>
      <c r="D48" s="44">
        <v>614</v>
      </c>
      <c r="E48" s="41" t="s">
        <v>4</v>
      </c>
      <c r="F48" s="43">
        <f>D48/3111</f>
        <v>0.19736419157827065</v>
      </c>
      <c r="G48" s="72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77"/>
      <c r="Z48" s="124"/>
      <c r="AA48" s="80"/>
      <c r="AB48" s="80"/>
      <c r="AC48" s="80"/>
      <c r="AD48" s="80"/>
      <c r="AE48" s="80"/>
    </row>
    <row r="49" spans="1:31" ht="25.5" customHeight="1" x14ac:dyDescent="0.25">
      <c r="A49" s="73" t="s">
        <v>41</v>
      </c>
      <c r="B49" s="73"/>
      <c r="C49" s="73"/>
      <c r="D49" s="73"/>
      <c r="E49" s="73"/>
      <c r="F49" s="73"/>
      <c r="G49" s="73"/>
      <c r="H49" s="7">
        <f>SUM(H5:H48)</f>
        <v>296306</v>
      </c>
      <c r="I49" s="7">
        <f t="shared" ref="I49:AE49" si="0">SUM(I5:I48)</f>
        <v>236918</v>
      </c>
      <c r="J49" s="7">
        <f t="shared" si="0"/>
        <v>189072</v>
      </c>
      <c r="K49" s="7">
        <f t="shared" si="0"/>
        <v>109893</v>
      </c>
      <c r="L49" s="7">
        <f t="shared" si="0"/>
        <v>149353</v>
      </c>
      <c r="M49" s="7">
        <f t="shared" si="0"/>
        <v>84777</v>
      </c>
      <c r="N49" s="7">
        <f t="shared" si="0"/>
        <v>195594</v>
      </c>
      <c r="O49" s="7">
        <f t="shared" si="0"/>
        <v>129699</v>
      </c>
      <c r="P49" s="7">
        <f t="shared" si="0"/>
        <v>69259</v>
      </c>
      <c r="Q49" s="7">
        <f t="shared" si="0"/>
        <v>238964</v>
      </c>
      <c r="R49" s="7">
        <f t="shared" si="0"/>
        <v>19317</v>
      </c>
      <c r="S49" s="7">
        <f t="shared" si="0"/>
        <v>115721</v>
      </c>
      <c r="T49" s="7">
        <f t="shared" si="0"/>
        <v>8659</v>
      </c>
      <c r="U49" s="7">
        <f t="shared" si="0"/>
        <v>540224</v>
      </c>
      <c r="V49" s="7">
        <f t="shared" si="0"/>
        <v>121230</v>
      </c>
      <c r="W49" s="7">
        <f t="shared" si="0"/>
        <v>35954</v>
      </c>
      <c r="X49" s="7">
        <f t="shared" si="0"/>
        <v>10239</v>
      </c>
      <c r="Y49" s="7">
        <f t="shared" si="0"/>
        <v>73551</v>
      </c>
      <c r="Z49" s="7">
        <f t="shared" si="0"/>
        <v>2003</v>
      </c>
      <c r="AA49" s="7">
        <f t="shared" si="0"/>
        <v>1695</v>
      </c>
      <c r="AB49" s="7">
        <f t="shared" si="0"/>
        <v>4454</v>
      </c>
      <c r="AC49" s="7">
        <f t="shared" si="0"/>
        <v>466</v>
      </c>
      <c r="AD49" s="7">
        <f t="shared" si="0"/>
        <v>98</v>
      </c>
      <c r="AE49" s="7">
        <f t="shared" si="0"/>
        <v>1693</v>
      </c>
    </row>
    <row r="50" spans="1:31" ht="27" customHeight="1" x14ac:dyDescent="0.2">
      <c r="A50" s="73" t="s">
        <v>42</v>
      </c>
      <c r="B50" s="73"/>
      <c r="C50" s="73"/>
      <c r="D50" s="73"/>
      <c r="E50" s="73"/>
      <c r="F50" s="73"/>
      <c r="G50" s="73"/>
      <c r="H50" s="18">
        <v>6.4500000000000002E-2</v>
      </c>
      <c r="I50" s="18">
        <v>5.8500000000000003E-2</v>
      </c>
      <c r="J50" s="19">
        <v>0.10717999</v>
      </c>
      <c r="K50" s="20">
        <v>6.6000000000000003E-2</v>
      </c>
      <c r="L50" s="20">
        <v>4.8000000000000001E-2</v>
      </c>
      <c r="M50" s="21">
        <v>0.03</v>
      </c>
      <c r="N50" s="22">
        <v>0.09</v>
      </c>
      <c r="O50" s="22">
        <v>0.23499999999999999</v>
      </c>
      <c r="P50" s="23">
        <v>0.1034559</v>
      </c>
      <c r="Q50" s="18">
        <v>0.1205</v>
      </c>
      <c r="R50" s="48">
        <v>6.1499999999999999E-2</v>
      </c>
      <c r="S50" s="49">
        <v>4.1000000000000002E-2</v>
      </c>
      <c r="T50" s="18">
        <v>0.188</v>
      </c>
      <c r="U50" s="20">
        <v>9.7000000000000003E-2</v>
      </c>
      <c r="V50" s="24">
        <v>8.9969999999999994E-2</v>
      </c>
      <c r="W50" s="22">
        <v>0.22</v>
      </c>
      <c r="X50" s="22">
        <v>0.12</v>
      </c>
      <c r="Y50" s="50">
        <v>4.6399999999999997E-2</v>
      </c>
      <c r="Z50" s="125">
        <v>3.27</v>
      </c>
      <c r="AA50" s="22">
        <v>4.8600000000000003</v>
      </c>
      <c r="AB50" s="22">
        <v>11.52</v>
      </c>
      <c r="AC50" s="22">
        <v>2.21</v>
      </c>
      <c r="AD50" s="51">
        <v>73.87</v>
      </c>
      <c r="AE50" s="22">
        <v>0.52</v>
      </c>
    </row>
    <row r="51" spans="1:31" ht="24" customHeight="1" x14ac:dyDescent="0.25">
      <c r="A51" s="73" t="s">
        <v>43</v>
      </c>
      <c r="B51" s="73"/>
      <c r="C51" s="73"/>
      <c r="D51" s="73"/>
      <c r="E51" s="73"/>
      <c r="F51" s="73"/>
      <c r="G51" s="73"/>
      <c r="H51" s="16">
        <f>H49*H50</f>
        <v>19111.737000000001</v>
      </c>
      <c r="I51" s="16">
        <f t="shared" ref="I51:AE51" si="1">I49*I50</f>
        <v>13859.703000000001</v>
      </c>
      <c r="J51" s="16">
        <f t="shared" si="1"/>
        <v>20264.735069279999</v>
      </c>
      <c r="K51" s="16">
        <f t="shared" si="1"/>
        <v>7252.9380000000001</v>
      </c>
      <c r="L51" s="16">
        <f t="shared" si="1"/>
        <v>7168.9440000000004</v>
      </c>
      <c r="M51" s="16">
        <f t="shared" si="1"/>
        <v>2543.31</v>
      </c>
      <c r="N51" s="16">
        <f t="shared" si="1"/>
        <v>17603.46</v>
      </c>
      <c r="O51" s="16">
        <f t="shared" si="1"/>
        <v>30479.264999999999</v>
      </c>
      <c r="P51" s="16">
        <f t="shared" si="1"/>
        <v>7165.2521781000005</v>
      </c>
      <c r="Q51" s="16">
        <f t="shared" si="1"/>
        <v>28795.162</v>
      </c>
      <c r="R51" s="16">
        <f t="shared" si="1"/>
        <v>1187.9955</v>
      </c>
      <c r="S51" s="16">
        <f t="shared" si="1"/>
        <v>4744.5610000000006</v>
      </c>
      <c r="T51" s="16">
        <f t="shared" si="1"/>
        <v>1627.8920000000001</v>
      </c>
      <c r="U51" s="16">
        <f t="shared" si="1"/>
        <v>52401.728000000003</v>
      </c>
      <c r="V51" s="16">
        <f t="shared" si="1"/>
        <v>10907.063099999999</v>
      </c>
      <c r="W51" s="16">
        <f t="shared" si="1"/>
        <v>7909.88</v>
      </c>
      <c r="X51" s="16">
        <f t="shared" si="1"/>
        <v>1228.68</v>
      </c>
      <c r="Y51" s="16">
        <f t="shared" si="1"/>
        <v>3412.7664</v>
      </c>
      <c r="Z51" s="126">
        <f t="shared" si="1"/>
        <v>6549.81</v>
      </c>
      <c r="AA51" s="16">
        <f t="shared" si="1"/>
        <v>8237.7000000000007</v>
      </c>
      <c r="AB51" s="16">
        <f t="shared" si="1"/>
        <v>51310.079999999994</v>
      </c>
      <c r="AC51" s="16">
        <f t="shared" si="1"/>
        <v>1029.8599999999999</v>
      </c>
      <c r="AD51" s="16">
        <f t="shared" si="1"/>
        <v>7239.26</v>
      </c>
      <c r="AE51" s="16">
        <f t="shared" si="1"/>
        <v>880.36</v>
      </c>
    </row>
    <row r="52" spans="1:31" ht="20.25" customHeight="1" x14ac:dyDescent="0.25">
      <c r="A52" s="73" t="s">
        <v>44</v>
      </c>
      <c r="B52" s="73"/>
      <c r="C52" s="73"/>
      <c r="D52" s="73"/>
      <c r="E52" s="73"/>
      <c r="F52" s="73"/>
      <c r="G52" s="73"/>
      <c r="H52" s="90">
        <f>H51+I51+J51+K51+L51+M51+N51+O51+P51+Q51+T51+U51+V51+W51+X51+Y51+Z51+AA51+AB51+AC51+AD51+AE51</f>
        <v>306979.58574737998</v>
      </c>
      <c r="I52" s="90"/>
      <c r="J52" s="90"/>
      <c r="K52" s="90"/>
      <c r="L52" s="90"/>
      <c r="M52" s="90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  <c r="AB52" s="90"/>
      <c r="AC52" s="90"/>
      <c r="AD52" s="90"/>
      <c r="AE52" s="90"/>
    </row>
    <row r="53" spans="1:31" ht="22.5" customHeight="1" x14ac:dyDescent="0.25">
      <c r="A53" s="73" t="s">
        <v>45</v>
      </c>
      <c r="B53" s="73"/>
      <c r="C53" s="73"/>
      <c r="D53" s="73"/>
      <c r="E53" s="73"/>
      <c r="F53" s="73"/>
      <c r="G53" s="73"/>
      <c r="H53" s="106" t="s">
        <v>3</v>
      </c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93"/>
      <c r="U53" s="73" t="s">
        <v>4</v>
      </c>
      <c r="V53" s="73"/>
      <c r="W53" s="73"/>
      <c r="X53" s="73" t="s">
        <v>5</v>
      </c>
      <c r="Y53" s="73"/>
      <c r="Z53" s="73" t="s">
        <v>6</v>
      </c>
      <c r="AA53" s="73"/>
      <c r="AB53" s="73"/>
      <c r="AC53" s="73"/>
      <c r="AD53" s="73"/>
      <c r="AE53" s="73"/>
    </row>
    <row r="54" spans="1:31" ht="29.25" customHeight="1" x14ac:dyDescent="0.25">
      <c r="A54" s="73"/>
      <c r="B54" s="73"/>
      <c r="C54" s="73"/>
      <c r="D54" s="73"/>
      <c r="E54" s="73"/>
      <c r="F54" s="73"/>
      <c r="G54" s="73"/>
      <c r="H54" s="108">
        <f>H51+I51+J51+K51+L51+M51+N51+O51+P51+Q51+T51</f>
        <v>155872.39824737998</v>
      </c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10"/>
      <c r="U54" s="94">
        <f>U51+V51+W51</f>
        <v>71218.671100000007</v>
      </c>
      <c r="V54" s="95"/>
      <c r="W54" s="96"/>
      <c r="X54" s="91">
        <f>X51+Y51</f>
        <v>4641.4463999999998</v>
      </c>
      <c r="Y54" s="91"/>
      <c r="Z54" s="90">
        <f>Z51+AA51+AB51+AC51+AD51+AE51</f>
        <v>75247.069999999992</v>
      </c>
      <c r="AA54" s="90"/>
      <c r="AB54" s="90"/>
      <c r="AC54" s="90"/>
      <c r="AD54" s="90"/>
      <c r="AE54" s="90"/>
    </row>
    <row r="55" spans="1:31" ht="34.5" customHeight="1" x14ac:dyDescent="0.25">
      <c r="A55" s="73" t="s">
        <v>46</v>
      </c>
      <c r="B55" s="73"/>
      <c r="C55" s="73"/>
      <c r="D55" s="73"/>
      <c r="E55" s="73"/>
      <c r="F55" s="73"/>
      <c r="G55" s="73"/>
      <c r="H55" s="108">
        <v>2184600</v>
      </c>
      <c r="I55" s="109"/>
      <c r="J55" s="109"/>
      <c r="K55" s="109"/>
      <c r="L55" s="109"/>
      <c r="M55" s="109"/>
      <c r="N55" s="109"/>
      <c r="O55" s="109"/>
      <c r="P55" s="109"/>
      <c r="Q55" s="109"/>
      <c r="R55" s="109"/>
      <c r="S55" s="109"/>
      <c r="T55" s="110"/>
      <c r="U55" s="92">
        <v>590000</v>
      </c>
      <c r="V55" s="92"/>
      <c r="W55" s="92"/>
      <c r="X55" s="91">
        <v>50000</v>
      </c>
      <c r="Y55" s="91"/>
      <c r="Z55" s="91">
        <v>620700</v>
      </c>
      <c r="AA55" s="91"/>
      <c r="AB55" s="91"/>
      <c r="AC55" s="91"/>
      <c r="AD55" s="91"/>
      <c r="AE55" s="91"/>
    </row>
    <row r="60" spans="1:31" ht="22.5" customHeight="1" x14ac:dyDescent="0.25">
      <c r="B60" s="88" t="s">
        <v>47</v>
      </c>
      <c r="C60" s="88"/>
    </row>
    <row r="61" spans="1:31" x14ac:dyDescent="0.25">
      <c r="A61" s="28">
        <v>1</v>
      </c>
      <c r="B61" s="89" t="s">
        <v>48</v>
      </c>
      <c r="C61" s="89"/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</row>
  </sheetData>
  <mergeCells count="320">
    <mergeCell ref="B60:C60"/>
    <mergeCell ref="B61:P61"/>
    <mergeCell ref="H54:T54"/>
    <mergeCell ref="U54:W54"/>
    <mergeCell ref="X54:Y54"/>
    <mergeCell ref="Z54:AE54"/>
    <mergeCell ref="A55:G55"/>
    <mergeCell ref="H55:T55"/>
    <mergeCell ref="U55:W55"/>
    <mergeCell ref="X55:Y55"/>
    <mergeCell ref="Z55:AE55"/>
    <mergeCell ref="A49:G49"/>
    <mergeCell ref="A50:G50"/>
    <mergeCell ref="A51:G51"/>
    <mergeCell ref="A52:G52"/>
    <mergeCell ref="H52:AE52"/>
    <mergeCell ref="A53:G54"/>
    <mergeCell ref="H53:T53"/>
    <mergeCell ref="U53:W53"/>
    <mergeCell ref="X53:Y53"/>
    <mergeCell ref="Z53:AE53"/>
    <mergeCell ref="Z45:Z48"/>
    <mergeCell ref="AA45:AA48"/>
    <mergeCell ref="AB45:AB48"/>
    <mergeCell ref="AC45:AC48"/>
    <mergeCell ref="AD45:AD48"/>
    <mergeCell ref="AE45:AE48"/>
    <mergeCell ref="T45:T48"/>
    <mergeCell ref="U45:U48"/>
    <mergeCell ref="V45:V48"/>
    <mergeCell ref="W45:W48"/>
    <mergeCell ref="X45:X48"/>
    <mergeCell ref="Y45:Y48"/>
    <mergeCell ref="N45:N48"/>
    <mergeCell ref="O45:O48"/>
    <mergeCell ref="P45:P48"/>
    <mergeCell ref="Q45:Q48"/>
    <mergeCell ref="R45:R48"/>
    <mergeCell ref="S45:S48"/>
    <mergeCell ref="AD41:AD44"/>
    <mergeCell ref="AE41:AE44"/>
    <mergeCell ref="B45:B48"/>
    <mergeCell ref="C45:C48"/>
    <mergeCell ref="H45:H48"/>
    <mergeCell ref="I45:I48"/>
    <mergeCell ref="J45:J48"/>
    <mergeCell ref="K45:K48"/>
    <mergeCell ref="L45:L48"/>
    <mergeCell ref="M45:M48"/>
    <mergeCell ref="X41:X44"/>
    <mergeCell ref="Y41:Y44"/>
    <mergeCell ref="Z41:Z44"/>
    <mergeCell ref="AA41:AA44"/>
    <mergeCell ref="AB41:AB44"/>
    <mergeCell ref="AC41:AC44"/>
    <mergeCell ref="R41:R44"/>
    <mergeCell ref="S41:S44"/>
    <mergeCell ref="I41:I44"/>
    <mergeCell ref="J41:J44"/>
    <mergeCell ref="K41:K44"/>
    <mergeCell ref="Z37:Z40"/>
    <mergeCell ref="AA37:AA40"/>
    <mergeCell ref="AB37:AB40"/>
    <mergeCell ref="N37:N40"/>
    <mergeCell ref="O37:O40"/>
    <mergeCell ref="P37:P40"/>
    <mergeCell ref="Q37:Q40"/>
    <mergeCell ref="R37:R40"/>
    <mergeCell ref="S37:S40"/>
    <mergeCell ref="T41:T44"/>
    <mergeCell ref="U41:U44"/>
    <mergeCell ref="V41:V44"/>
    <mergeCell ref="W41:W44"/>
    <mergeCell ref="L41:L44"/>
    <mergeCell ref="M41:M44"/>
    <mergeCell ref="N41:N44"/>
    <mergeCell ref="O41:O44"/>
    <mergeCell ref="P41:P44"/>
    <mergeCell ref="Q41:Q44"/>
    <mergeCell ref="AC37:AC40"/>
    <mergeCell ref="AD37:AD40"/>
    <mergeCell ref="AE37:AE40"/>
    <mergeCell ref="T37:T40"/>
    <mergeCell ref="U37:U40"/>
    <mergeCell ref="V37:V40"/>
    <mergeCell ref="W37:W40"/>
    <mergeCell ref="X37:X40"/>
    <mergeCell ref="Y37:Y40"/>
    <mergeCell ref="AD33:AD36"/>
    <mergeCell ref="AE33:AE36"/>
    <mergeCell ref="B37:B40"/>
    <mergeCell ref="C37:C40"/>
    <mergeCell ref="H37:H40"/>
    <mergeCell ref="I37:I40"/>
    <mergeCell ref="J37:J40"/>
    <mergeCell ref="K37:K40"/>
    <mergeCell ref="L37:L40"/>
    <mergeCell ref="M37:M40"/>
    <mergeCell ref="X33:X36"/>
    <mergeCell ref="Y33:Y36"/>
    <mergeCell ref="Z33:Z36"/>
    <mergeCell ref="AA33:AA36"/>
    <mergeCell ref="AB33:AB36"/>
    <mergeCell ref="AC33:AC36"/>
    <mergeCell ref="R33:R36"/>
    <mergeCell ref="S33:S36"/>
    <mergeCell ref="T33:T36"/>
    <mergeCell ref="U33:U36"/>
    <mergeCell ref="V33:V36"/>
    <mergeCell ref="W33:W36"/>
    <mergeCell ref="L33:L36"/>
    <mergeCell ref="M33:M36"/>
    <mergeCell ref="X29:X32"/>
    <mergeCell ref="Y29:Y32"/>
    <mergeCell ref="N33:N36"/>
    <mergeCell ref="O33:O36"/>
    <mergeCell ref="P33:P36"/>
    <mergeCell ref="Q33:Q36"/>
    <mergeCell ref="B33:B36"/>
    <mergeCell ref="C33:C36"/>
    <mergeCell ref="H33:H36"/>
    <mergeCell ref="I33:I36"/>
    <mergeCell ref="J33:J36"/>
    <mergeCell ref="K33:K36"/>
    <mergeCell ref="G5:G48"/>
    <mergeCell ref="AD25:AD28"/>
    <mergeCell ref="AE25:AE28"/>
    <mergeCell ref="B29:B32"/>
    <mergeCell ref="C29:C32"/>
    <mergeCell ref="H29:H32"/>
    <mergeCell ref="I29:I32"/>
    <mergeCell ref="J29:J32"/>
    <mergeCell ref="K29:K32"/>
    <mergeCell ref="L29:L32"/>
    <mergeCell ref="M29:M32"/>
    <mergeCell ref="X25:X28"/>
    <mergeCell ref="Y25:Y28"/>
    <mergeCell ref="Z25:Z28"/>
    <mergeCell ref="AA25:AA28"/>
    <mergeCell ref="AB25:AB28"/>
    <mergeCell ref="AC25:AC28"/>
    <mergeCell ref="R25:R28"/>
    <mergeCell ref="S25:S28"/>
    <mergeCell ref="Z29:Z32"/>
    <mergeCell ref="AA29:AA32"/>
    <mergeCell ref="AB29:AB32"/>
    <mergeCell ref="AC29:AC32"/>
    <mergeCell ref="AD29:AD32"/>
    <mergeCell ref="AE29:AE32"/>
    <mergeCell ref="W25:W28"/>
    <mergeCell ref="L25:L28"/>
    <mergeCell ref="M25:M28"/>
    <mergeCell ref="N25:N28"/>
    <mergeCell ref="O25:O28"/>
    <mergeCell ref="P25:P28"/>
    <mergeCell ref="Q25:Q28"/>
    <mergeCell ref="N29:N32"/>
    <mergeCell ref="O29:O32"/>
    <mergeCell ref="P29:P32"/>
    <mergeCell ref="Q29:Q32"/>
    <mergeCell ref="R29:R32"/>
    <mergeCell ref="S29:S32"/>
    <mergeCell ref="T29:T32"/>
    <mergeCell ref="U29:U32"/>
    <mergeCell ref="V29:V32"/>
    <mergeCell ref="W29:W32"/>
    <mergeCell ref="N21:N24"/>
    <mergeCell ref="O21:O24"/>
    <mergeCell ref="P21:P24"/>
    <mergeCell ref="Q21:Q24"/>
    <mergeCell ref="R21:R24"/>
    <mergeCell ref="S21:S24"/>
    <mergeCell ref="T25:T28"/>
    <mergeCell ref="U25:U28"/>
    <mergeCell ref="V25:V28"/>
    <mergeCell ref="AC21:AC24"/>
    <mergeCell ref="AD21:AD24"/>
    <mergeCell ref="AE21:AE24"/>
    <mergeCell ref="T21:T24"/>
    <mergeCell ref="U21:U24"/>
    <mergeCell ref="V21:V24"/>
    <mergeCell ref="W21:W24"/>
    <mergeCell ref="X21:X24"/>
    <mergeCell ref="Y21:Y24"/>
    <mergeCell ref="Z21:Z24"/>
    <mergeCell ref="AA21:AA24"/>
    <mergeCell ref="AB21:AB24"/>
    <mergeCell ref="AD17:AD20"/>
    <mergeCell ref="AE17:AE20"/>
    <mergeCell ref="B21:B24"/>
    <mergeCell ref="C21:C24"/>
    <mergeCell ref="H21:H24"/>
    <mergeCell ref="I21:I24"/>
    <mergeCell ref="J21:J24"/>
    <mergeCell ref="K21:K24"/>
    <mergeCell ref="L21:L24"/>
    <mergeCell ref="M21:M24"/>
    <mergeCell ref="X17:X20"/>
    <mergeCell ref="Y17:Y20"/>
    <mergeCell ref="Z17:Z20"/>
    <mergeCell ref="AA17:AA20"/>
    <mergeCell ref="AB17:AB20"/>
    <mergeCell ref="AC17:AC20"/>
    <mergeCell ref="R17:R20"/>
    <mergeCell ref="S17:S20"/>
    <mergeCell ref="T17:T20"/>
    <mergeCell ref="U17:U20"/>
    <mergeCell ref="V17:V20"/>
    <mergeCell ref="W17:W20"/>
    <mergeCell ref="L17:L20"/>
    <mergeCell ref="M17:M20"/>
    <mergeCell ref="X13:X16"/>
    <mergeCell ref="Y13:Y16"/>
    <mergeCell ref="N17:N20"/>
    <mergeCell ref="O17:O20"/>
    <mergeCell ref="P17:P20"/>
    <mergeCell ref="Q17:Q20"/>
    <mergeCell ref="B17:B20"/>
    <mergeCell ref="C17:C20"/>
    <mergeCell ref="H17:H20"/>
    <mergeCell ref="I17:I20"/>
    <mergeCell ref="J17:J20"/>
    <mergeCell ref="K17:K20"/>
    <mergeCell ref="AD9:AD12"/>
    <mergeCell ref="AE9:AE12"/>
    <mergeCell ref="B13:B16"/>
    <mergeCell ref="C13:C16"/>
    <mergeCell ref="H13:H16"/>
    <mergeCell ref="I13:I16"/>
    <mergeCell ref="J13:J16"/>
    <mergeCell ref="K13:K16"/>
    <mergeCell ref="L13:L16"/>
    <mergeCell ref="M13:M16"/>
    <mergeCell ref="X9:X12"/>
    <mergeCell ref="Y9:Y12"/>
    <mergeCell ref="Z9:Z12"/>
    <mergeCell ref="AA9:AA12"/>
    <mergeCell ref="AB9:AB12"/>
    <mergeCell ref="AC9:AC12"/>
    <mergeCell ref="R9:R12"/>
    <mergeCell ref="S9:S12"/>
    <mergeCell ref="Z13:Z16"/>
    <mergeCell ref="AA13:AA16"/>
    <mergeCell ref="AB13:AB16"/>
    <mergeCell ref="AC13:AC16"/>
    <mergeCell ref="AD13:AD16"/>
    <mergeCell ref="AE13:AE16"/>
    <mergeCell ref="W9:W12"/>
    <mergeCell ref="L9:L12"/>
    <mergeCell ref="M9:M12"/>
    <mergeCell ref="N9:N12"/>
    <mergeCell ref="O9:O12"/>
    <mergeCell ref="P9:P12"/>
    <mergeCell ref="Q9:Q12"/>
    <mergeCell ref="N13:N16"/>
    <mergeCell ref="O13:O16"/>
    <mergeCell ref="P13:P16"/>
    <mergeCell ref="Q13:Q16"/>
    <mergeCell ref="R13:R16"/>
    <mergeCell ref="S13:S16"/>
    <mergeCell ref="T13:T16"/>
    <mergeCell ref="U13:U16"/>
    <mergeCell ref="V13:V16"/>
    <mergeCell ref="W13:W16"/>
    <mergeCell ref="N5:N8"/>
    <mergeCell ref="O5:O8"/>
    <mergeCell ref="P5:P8"/>
    <mergeCell ref="Q5:Q8"/>
    <mergeCell ref="R5:R8"/>
    <mergeCell ref="S5:S8"/>
    <mergeCell ref="T9:T12"/>
    <mergeCell ref="U9:U12"/>
    <mergeCell ref="V9:V12"/>
    <mergeCell ref="AC5:AC8"/>
    <mergeCell ref="AD5:AD8"/>
    <mergeCell ref="AE5:AE8"/>
    <mergeCell ref="T5:T8"/>
    <mergeCell ref="U5:U8"/>
    <mergeCell ref="V5:V8"/>
    <mergeCell ref="W5:W8"/>
    <mergeCell ref="X5:X8"/>
    <mergeCell ref="Y5:Y8"/>
    <mergeCell ref="Z5:Z8"/>
    <mergeCell ref="AA5:AA8"/>
    <mergeCell ref="AB5:AB8"/>
    <mergeCell ref="A5:A48"/>
    <mergeCell ref="B5:B8"/>
    <mergeCell ref="C5:C8"/>
    <mergeCell ref="H5:H8"/>
    <mergeCell ref="I5:I8"/>
    <mergeCell ref="J5:J8"/>
    <mergeCell ref="K5:K8"/>
    <mergeCell ref="L5:L8"/>
    <mergeCell ref="M5:M8"/>
    <mergeCell ref="B9:B12"/>
    <mergeCell ref="C9:C12"/>
    <mergeCell ref="H9:H12"/>
    <mergeCell ref="I9:I12"/>
    <mergeCell ref="J9:J12"/>
    <mergeCell ref="K9:K12"/>
    <mergeCell ref="B25:B28"/>
    <mergeCell ref="C25:C28"/>
    <mergeCell ref="H25:H28"/>
    <mergeCell ref="I25:I28"/>
    <mergeCell ref="J25:J28"/>
    <mergeCell ref="K25:K28"/>
    <mergeCell ref="B41:B44"/>
    <mergeCell ref="C41:C44"/>
    <mergeCell ref="H41:H44"/>
    <mergeCell ref="A1:H1"/>
    <mergeCell ref="A2:A4"/>
    <mergeCell ref="B2:D3"/>
    <mergeCell ref="E2:E4"/>
    <mergeCell ref="F2:F4"/>
    <mergeCell ref="G2:G4"/>
    <mergeCell ref="H2:AE2"/>
    <mergeCell ref="H3:T3"/>
    <mergeCell ref="U3:W3"/>
    <mergeCell ref="X3:Y3"/>
    <mergeCell ref="Z3:AE3"/>
  </mergeCells>
  <pageMargins left="0" right="0" top="0" bottom="0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ივლისი 2017</vt:lpstr>
      <vt:lpstr>აგვისტო 2017</vt:lpstr>
      <vt:lpstr> სექტემბერი 2017</vt:lpstr>
      <vt:lpstr>ოქტომებრი 24.10.17</vt:lpstr>
      <vt:lpstr>სულ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Gobejishvili</dc:creator>
  <cp:lastModifiedBy>Irina Gobejishvili</cp:lastModifiedBy>
  <cp:lastPrinted>2017-10-26T13:32:11Z</cp:lastPrinted>
  <dcterms:created xsi:type="dcterms:W3CDTF">2017-09-28T12:33:21Z</dcterms:created>
  <dcterms:modified xsi:type="dcterms:W3CDTF">2017-10-26T14:16:13Z</dcterms:modified>
</cp:coreProperties>
</file>